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2570"/>
  </bookViews>
  <sheets>
    <sheet name="Biểu 01" sheetId="1" r:id="rId1"/>
    <sheet name="Nông nghiệp" sheetId="2" r:id="rId2"/>
    <sheet name="Công nghiệp" sheetId="3" r:id="rId3"/>
    <sheet name="Xây dựng" sheetId="6" r:id="rId4"/>
    <sheet name="Thương mại -DV" sheetId="4" r:id="rId5"/>
  </sheets>
  <externalReferences>
    <externalReference r:id="rId6"/>
  </externalReferences>
  <definedNames>
    <definedName name="_xlnm.Print_Titles" localSheetId="0">'Biểu 01'!$4:$5</definedName>
  </definedNames>
  <calcPr calcId="162913"/>
</workbook>
</file>

<file path=xl/calcChain.xml><?xml version="1.0" encoding="utf-8"?>
<calcChain xmlns="http://schemas.openxmlformats.org/spreadsheetml/2006/main">
  <c r="U16" i="4" l="1"/>
  <c r="V16" i="4"/>
  <c r="F7" i="6"/>
  <c r="F6" i="6"/>
  <c r="E4" i="6"/>
  <c r="D4" i="6"/>
  <c r="C4" i="6"/>
  <c r="F4" i="6" l="1"/>
  <c r="E47" i="1"/>
  <c r="D47" i="1"/>
  <c r="C47" i="1"/>
  <c r="F41" i="1"/>
  <c r="E41" i="1"/>
  <c r="D41" i="1"/>
  <c r="C41" i="1"/>
  <c r="E46" i="1" l="1"/>
  <c r="D28" i="1"/>
  <c r="D31" i="1"/>
  <c r="L41" i="2"/>
  <c r="L70" i="2"/>
  <c r="V24" i="4"/>
  <c r="K20" i="4"/>
  <c r="W16" i="4"/>
  <c r="U18" i="4"/>
  <c r="V14" i="4"/>
  <c r="V28" i="4"/>
  <c r="V18" i="4"/>
  <c r="V20" i="4"/>
  <c r="C52" i="1" l="1"/>
  <c r="D52" i="1"/>
  <c r="E52" i="1"/>
  <c r="C53" i="1"/>
  <c r="D53" i="1"/>
  <c r="E53" i="1"/>
  <c r="F53" i="1"/>
  <c r="C54" i="1"/>
  <c r="D54" i="1"/>
  <c r="E54" i="1"/>
  <c r="D51" i="1"/>
  <c r="E51" i="1"/>
  <c r="F51" i="1"/>
  <c r="C51" i="1"/>
  <c r="F52" i="1"/>
  <c r="F54" i="1"/>
  <c r="U8" i="4"/>
  <c r="U7" i="4"/>
  <c r="V8" i="4"/>
  <c r="V7" i="4"/>
  <c r="K31" i="1"/>
  <c r="K32" i="1" s="1"/>
  <c r="J12" i="1"/>
  <c r="J9" i="1"/>
  <c r="K14" i="1"/>
  <c r="D32" i="1"/>
  <c r="D34" i="1"/>
  <c r="D33" i="1"/>
  <c r="L47" i="2"/>
  <c r="V22" i="4"/>
  <c r="L102" i="2"/>
  <c r="L97" i="2"/>
  <c r="L96" i="2" s="1"/>
  <c r="L95" i="2"/>
  <c r="L94" i="2"/>
  <c r="I94" i="2"/>
  <c r="J94" i="2"/>
  <c r="K94" i="2"/>
  <c r="U24" i="4"/>
  <c r="W24" i="4" s="1"/>
  <c r="O28" i="4"/>
  <c r="P28" i="4"/>
  <c r="Q28" i="4"/>
  <c r="R28" i="4"/>
  <c r="S28" i="4"/>
  <c r="T28" i="4"/>
  <c r="U28" i="4"/>
  <c r="L22" i="4"/>
  <c r="M22" i="4"/>
  <c r="N22" i="4"/>
  <c r="O22" i="4"/>
  <c r="P22" i="4"/>
  <c r="Q22" i="4"/>
  <c r="R22" i="4"/>
  <c r="S22" i="4"/>
  <c r="T22" i="4"/>
  <c r="U22" i="4"/>
  <c r="L20" i="4"/>
  <c r="M20" i="4"/>
  <c r="N20" i="4"/>
  <c r="O20" i="4"/>
  <c r="P20" i="4"/>
  <c r="Q20" i="4"/>
  <c r="R20" i="4"/>
  <c r="S20" i="4"/>
  <c r="T20" i="4"/>
  <c r="U20" i="4"/>
  <c r="L18" i="4"/>
  <c r="M18" i="4"/>
  <c r="N18" i="4"/>
  <c r="O18" i="4"/>
  <c r="P18" i="4"/>
  <c r="Q18" i="4"/>
  <c r="R18" i="4"/>
  <c r="S18" i="4"/>
  <c r="T18" i="4"/>
  <c r="L16" i="4"/>
  <c r="M16" i="4"/>
  <c r="N16" i="4"/>
  <c r="O16" i="4"/>
  <c r="P16" i="4"/>
  <c r="Q16" i="4"/>
  <c r="R16" i="4"/>
  <c r="S16" i="4"/>
  <c r="T16" i="4"/>
  <c r="K16" i="4"/>
  <c r="L14" i="4"/>
  <c r="M14" i="4"/>
  <c r="N14" i="4"/>
  <c r="O14" i="4"/>
  <c r="P14" i="4"/>
  <c r="Q14" i="4"/>
  <c r="R14" i="4"/>
  <c r="S14" i="4"/>
  <c r="T14" i="4"/>
  <c r="U14" i="4"/>
  <c r="K14" i="4"/>
  <c r="Q55" i="3"/>
  <c r="M55" i="3"/>
  <c r="C23" i="1"/>
  <c r="D24" i="1"/>
  <c r="D19" i="1"/>
  <c r="J8" i="1" l="1"/>
  <c r="D50" i="1"/>
  <c r="D11" i="1" s="1"/>
  <c r="L90" i="2"/>
  <c r="L12" i="2" s="1"/>
  <c r="F14" i="1" s="1"/>
  <c r="F32" i="1" s="1"/>
  <c r="F50" i="1"/>
  <c r="F11" i="1" s="1"/>
  <c r="F29" i="1" s="1"/>
  <c r="E50" i="1"/>
  <c r="E11" i="1" s="1"/>
  <c r="E20" i="1" s="1"/>
  <c r="F20" i="1"/>
  <c r="D30" i="1"/>
  <c r="V12" i="4"/>
  <c r="V11" i="4" s="1"/>
  <c r="I20" i="1" l="1"/>
  <c r="D29" i="1"/>
  <c r="D27" i="1" s="1"/>
  <c r="D20" i="1"/>
  <c r="E29" i="1"/>
  <c r="D26" i="1"/>
  <c r="D35" i="1" s="1"/>
  <c r="F23" i="1"/>
  <c r="F16" i="1"/>
  <c r="F25" i="1" s="1"/>
  <c r="D39" i="1"/>
  <c r="D38" i="1"/>
  <c r="D37" i="1" l="1"/>
  <c r="F34" i="1"/>
  <c r="D36" i="1"/>
  <c r="AA11" i="2" l="1"/>
  <c r="K108" i="2"/>
  <c r="L108" i="2"/>
  <c r="L111" i="2" s="1"/>
  <c r="J108" i="2"/>
  <c r="J111" i="2" s="1"/>
  <c r="L20" i="2"/>
  <c r="K20" i="2"/>
  <c r="AD55" i="2"/>
  <c r="K50" i="2"/>
  <c r="K51" i="2" s="1"/>
  <c r="L23" i="2"/>
  <c r="L24" i="2" s="1"/>
  <c r="K23" i="2"/>
  <c r="K24" i="2" s="1"/>
  <c r="K18" i="2"/>
  <c r="AE54" i="2"/>
  <c r="J53" i="2"/>
  <c r="AH8" i="2"/>
  <c r="K53" i="2"/>
  <c r="J41" i="2"/>
  <c r="J42" i="2" s="1"/>
  <c r="K47" i="2"/>
  <c r="J47" i="2"/>
  <c r="J50" i="2"/>
  <c r="J51" i="2" s="1"/>
  <c r="J21" i="2"/>
  <c r="J18" i="2"/>
  <c r="AE55" i="2"/>
  <c r="L35" i="2"/>
  <c r="L36" i="2" s="1"/>
  <c r="K102" i="2"/>
  <c r="I102" i="2"/>
  <c r="J102" i="2"/>
  <c r="J97" i="2"/>
  <c r="J96" i="2" s="1"/>
  <c r="J95" i="2"/>
  <c r="J75" i="2"/>
  <c r="K75" i="2"/>
  <c r="L75" i="2"/>
  <c r="K67" i="2"/>
  <c r="L67" i="2"/>
  <c r="J90" i="2" l="1"/>
  <c r="J12" i="2" s="1"/>
  <c r="AA87" i="2"/>
  <c r="AA89" i="2" l="1"/>
  <c r="K95" i="2" l="1"/>
  <c r="I99" i="2"/>
  <c r="K97" i="2"/>
  <c r="K96" i="2" s="1"/>
  <c r="I97" i="2"/>
  <c r="I95" i="2"/>
  <c r="H90" i="2"/>
  <c r="G90" i="2"/>
  <c r="F90" i="2"/>
  <c r="E90" i="2"/>
  <c r="D90" i="2"/>
  <c r="J106" i="2"/>
  <c r="J13" i="2" s="1"/>
  <c r="AB20" i="2" s="1"/>
  <c r="K111" i="2"/>
  <c r="K106" i="2" s="1"/>
  <c r="K13" i="2" s="1"/>
  <c r="L106" i="2"/>
  <c r="L13" i="2" s="1"/>
  <c r="F15" i="1" s="1"/>
  <c r="F33" i="1" l="1"/>
  <c r="F24" i="1"/>
  <c r="K90" i="2"/>
  <c r="K12" i="2" s="1"/>
  <c r="E15" i="1"/>
  <c r="E33" i="1" s="1"/>
  <c r="I96" i="2"/>
  <c r="I90" i="2" s="1"/>
  <c r="AF100" i="2" s="1"/>
  <c r="I108" i="2"/>
  <c r="I76" i="2"/>
  <c r="I73" i="2"/>
  <c r="I70" i="2"/>
  <c r="I67" i="2"/>
  <c r="J80" i="2"/>
  <c r="K80" i="2"/>
  <c r="L80" i="2"/>
  <c r="I80" i="2"/>
  <c r="J78" i="2"/>
  <c r="K78" i="2"/>
  <c r="L78" i="2"/>
  <c r="I78" i="2"/>
  <c r="I29" i="2"/>
  <c r="I30" i="2" s="1"/>
  <c r="L53" i="2"/>
  <c r="I53" i="2"/>
  <c r="L50" i="2"/>
  <c r="L51" i="2" s="1"/>
  <c r="K41" i="2"/>
  <c r="L42" i="2"/>
  <c r="I41" i="2"/>
  <c r="I42" i="2" s="1"/>
  <c r="J32" i="2"/>
  <c r="J33" i="2" s="1"/>
  <c r="K32" i="2"/>
  <c r="K33" i="2" s="1"/>
  <c r="L32" i="2"/>
  <c r="L33" i="2" s="1"/>
  <c r="I32" i="2"/>
  <c r="I33" i="2" s="1"/>
  <c r="J29" i="2"/>
  <c r="J30" i="2" s="1"/>
  <c r="K29" i="2"/>
  <c r="K30" i="2" s="1"/>
  <c r="L29" i="2"/>
  <c r="L30" i="2" s="1"/>
  <c r="J26" i="2"/>
  <c r="J27" i="2" s="1"/>
  <c r="K26" i="2"/>
  <c r="K27" i="2" s="1"/>
  <c r="L26" i="2"/>
  <c r="L27" i="2" s="1"/>
  <c r="I26" i="2"/>
  <c r="I27" i="2" s="1"/>
  <c r="I24" i="2"/>
  <c r="J76" i="2"/>
  <c r="J73" i="2"/>
  <c r="J70" i="2"/>
  <c r="J66" i="2"/>
  <c r="J67" i="2" s="1"/>
  <c r="J48" i="2"/>
  <c r="J44" i="2"/>
  <c r="J45" i="2" s="1"/>
  <c r="J38" i="2"/>
  <c r="J39" i="2" s="1"/>
  <c r="J35" i="2"/>
  <c r="J24" i="2"/>
  <c r="J59" i="2" l="1"/>
  <c r="E24" i="1"/>
  <c r="G24" i="1" s="1"/>
  <c r="J36" i="2"/>
  <c r="J14" i="2" s="1"/>
  <c r="J9" i="2" s="1"/>
  <c r="E14" i="1"/>
  <c r="E32" i="1" s="1"/>
  <c r="I12" i="2"/>
  <c r="AA12" i="2" s="1"/>
  <c r="I111" i="2"/>
  <c r="I106" i="2" s="1"/>
  <c r="J64" i="2"/>
  <c r="J10" i="2" s="1"/>
  <c r="AF14" i="2" s="1"/>
  <c r="I64" i="2"/>
  <c r="J58" i="2"/>
  <c r="J42" i="4"/>
  <c r="H42" i="4"/>
  <c r="N40" i="4"/>
  <c r="M40" i="4"/>
  <c r="L40" i="4"/>
  <c r="K40" i="4"/>
  <c r="J40" i="4"/>
  <c r="I40" i="4"/>
  <c r="H40" i="4"/>
  <c r="G40" i="4"/>
  <c r="F40" i="4"/>
  <c r="E40" i="4"/>
  <c r="D40" i="4"/>
  <c r="N38" i="4"/>
  <c r="N39" i="4" s="1"/>
  <c r="M38" i="4"/>
  <c r="M39" i="4" s="1"/>
  <c r="L38" i="4"/>
  <c r="L39" i="4" s="1"/>
  <c r="K39" i="4"/>
  <c r="J38" i="4"/>
  <c r="J39" i="4" s="1"/>
  <c r="I38" i="4"/>
  <c r="I39" i="4" s="1"/>
  <c r="H38" i="4"/>
  <c r="H39" i="4" s="1"/>
  <c r="G38" i="4"/>
  <c r="G39" i="4" s="1"/>
  <c r="F38" i="4"/>
  <c r="F39" i="4" s="1"/>
  <c r="E38" i="4"/>
  <c r="E39" i="4" s="1"/>
  <c r="D38" i="4"/>
  <c r="D39" i="4" s="1"/>
  <c r="D31" i="4"/>
  <c r="E31" i="4" s="1"/>
  <c r="F31" i="4" s="1"/>
  <c r="G31" i="4" s="1"/>
  <c r="H31" i="4" s="1"/>
  <c r="I31" i="4" s="1"/>
  <c r="J31" i="4" s="1"/>
  <c r="K31" i="4" s="1"/>
  <c r="L31" i="4" s="1"/>
  <c r="M31" i="4" s="1"/>
  <c r="N31" i="4" s="1"/>
  <c r="F27" i="4"/>
  <c r="G27" i="4" s="1"/>
  <c r="E26" i="4"/>
  <c r="D26" i="4"/>
  <c r="P25" i="4"/>
  <c r="Q24" i="4"/>
  <c r="P24" i="4"/>
  <c r="K22" i="4"/>
  <c r="J22" i="4"/>
  <c r="J20" i="4"/>
  <c r="I20" i="4"/>
  <c r="K18" i="4"/>
  <c r="J18" i="4"/>
  <c r="I18" i="4"/>
  <c r="N12" i="4"/>
  <c r="J16" i="4"/>
  <c r="I16" i="4"/>
  <c r="J14" i="4"/>
  <c r="I14" i="4"/>
  <c r="Q13" i="4"/>
  <c r="P13" i="4"/>
  <c r="O13" i="4"/>
  <c r="T12" i="4"/>
  <c r="T11" i="4" s="1"/>
  <c r="S12" i="4"/>
  <c r="S11" i="4" s="1"/>
  <c r="O12" i="4"/>
  <c r="O11" i="4" s="1"/>
  <c r="M12" i="4"/>
  <c r="L12" i="4"/>
  <c r="H12" i="4"/>
  <c r="H11" i="4" s="1"/>
  <c r="G12" i="4"/>
  <c r="G11" i="4" s="1"/>
  <c r="F12" i="4"/>
  <c r="F11" i="4" s="1"/>
  <c r="E12" i="4"/>
  <c r="D12" i="4"/>
  <c r="E11" i="4"/>
  <c r="D11" i="4"/>
  <c r="N8" i="4"/>
  <c r="M8" i="4"/>
  <c r="L8" i="4"/>
  <c r="K8" i="4"/>
  <c r="J8" i="4"/>
  <c r="I8" i="4"/>
  <c r="H8" i="4"/>
  <c r="G8" i="4"/>
  <c r="F8" i="4"/>
  <c r="E8" i="4"/>
  <c r="D8" i="4"/>
  <c r="N7" i="4"/>
  <c r="M7" i="4"/>
  <c r="L7" i="4"/>
  <c r="K7" i="4"/>
  <c r="J7" i="4"/>
  <c r="I7" i="4"/>
  <c r="H7" i="4"/>
  <c r="G7" i="4"/>
  <c r="F7" i="4"/>
  <c r="E7" i="4"/>
  <c r="D7" i="4"/>
  <c r="L57" i="3"/>
  <c r="K55" i="3"/>
  <c r="I55" i="3"/>
  <c r="G55" i="3"/>
  <c r="E55" i="3"/>
  <c r="Q54" i="3"/>
  <c r="M54" i="3"/>
  <c r="K54" i="3"/>
  <c r="I54" i="3"/>
  <c r="G54" i="3"/>
  <c r="G52" i="3" s="1"/>
  <c r="E54" i="3"/>
  <c r="E52" i="3" s="1"/>
  <c r="E61" i="3" s="1"/>
  <c r="Q53" i="3"/>
  <c r="M53" i="3"/>
  <c r="J53" i="3"/>
  <c r="K53" i="3" s="1"/>
  <c r="I53" i="3"/>
  <c r="Q51" i="3"/>
  <c r="M51" i="3"/>
  <c r="K51" i="3"/>
  <c r="I51" i="3"/>
  <c r="F51" i="3"/>
  <c r="G51" i="3" s="1"/>
  <c r="E51" i="3"/>
  <c r="Q50" i="3"/>
  <c r="M50" i="3"/>
  <c r="K50" i="3"/>
  <c r="I50" i="3"/>
  <c r="F50" i="3"/>
  <c r="G50" i="3" s="1"/>
  <c r="E50" i="3"/>
  <c r="Q49" i="3"/>
  <c r="M49" i="3"/>
  <c r="K49" i="3"/>
  <c r="I49" i="3"/>
  <c r="F49" i="3"/>
  <c r="G49" i="3" s="1"/>
  <c r="E49" i="3"/>
  <c r="Q48" i="3"/>
  <c r="M48" i="3"/>
  <c r="K48" i="3"/>
  <c r="I48" i="3"/>
  <c r="F48" i="3"/>
  <c r="G48" i="3" s="1"/>
  <c r="E48" i="3"/>
  <c r="Q47" i="3"/>
  <c r="M47" i="3"/>
  <c r="K47" i="3"/>
  <c r="I47" i="3"/>
  <c r="F47" i="3"/>
  <c r="G47" i="3" s="1"/>
  <c r="E47" i="3"/>
  <c r="Q46" i="3"/>
  <c r="M46" i="3"/>
  <c r="K46" i="3"/>
  <c r="I46" i="3"/>
  <c r="G46" i="3"/>
  <c r="E46" i="3"/>
  <c r="Q45" i="3"/>
  <c r="M45" i="3"/>
  <c r="K45" i="3"/>
  <c r="I45" i="3"/>
  <c r="F45" i="3"/>
  <c r="G45" i="3" s="1"/>
  <c r="E45" i="3"/>
  <c r="K44" i="3"/>
  <c r="Q43" i="3"/>
  <c r="M43" i="3"/>
  <c r="F43" i="3"/>
  <c r="G43" i="3" s="1"/>
  <c r="E43" i="3"/>
  <c r="Q42" i="3"/>
  <c r="M42" i="3"/>
  <c r="F42" i="3"/>
  <c r="G42" i="3" s="1"/>
  <c r="E42" i="3"/>
  <c r="Q41" i="3"/>
  <c r="M41" i="3"/>
  <c r="J41" i="3"/>
  <c r="K41" i="3" s="1"/>
  <c r="I41" i="3"/>
  <c r="G41" i="3"/>
  <c r="E41" i="3"/>
  <c r="Q40" i="3"/>
  <c r="M40" i="3"/>
  <c r="F40" i="3"/>
  <c r="H40" i="3" s="1"/>
  <c r="E40" i="3"/>
  <c r="Q38" i="3"/>
  <c r="Q37" i="3" s="1"/>
  <c r="M38" i="3"/>
  <c r="M37" i="3" s="1"/>
  <c r="K38" i="3"/>
  <c r="I38" i="3"/>
  <c r="I37" i="3" s="1"/>
  <c r="G38" i="3"/>
  <c r="G37" i="3" s="1"/>
  <c r="E38" i="3"/>
  <c r="E37" i="3" s="1"/>
  <c r="K37" i="3"/>
  <c r="Q36" i="3"/>
  <c r="M36" i="3"/>
  <c r="K36" i="3"/>
  <c r="I36" i="3"/>
  <c r="G36" i="3"/>
  <c r="E36" i="3"/>
  <c r="Q35" i="3"/>
  <c r="M35" i="3"/>
  <c r="K35" i="3"/>
  <c r="I35" i="3"/>
  <c r="G35" i="3"/>
  <c r="E35" i="3"/>
  <c r="Q34" i="3"/>
  <c r="M34" i="3"/>
  <c r="K34" i="3"/>
  <c r="I34" i="3"/>
  <c r="G34" i="3"/>
  <c r="E34" i="3"/>
  <c r="Q33" i="3"/>
  <c r="M33" i="3"/>
  <c r="K33" i="3"/>
  <c r="I33" i="3"/>
  <c r="G33" i="3"/>
  <c r="E33" i="3"/>
  <c r="Q32" i="3"/>
  <c r="Q31" i="3"/>
  <c r="M31" i="3"/>
  <c r="K31" i="3"/>
  <c r="I31" i="3"/>
  <c r="G31" i="3"/>
  <c r="E31" i="3"/>
  <c r="Q30" i="3"/>
  <c r="M30" i="3"/>
  <c r="K30" i="3"/>
  <c r="I30" i="3"/>
  <c r="G30" i="3"/>
  <c r="E30" i="3"/>
  <c r="M29" i="3"/>
  <c r="K29" i="3"/>
  <c r="Q28" i="3"/>
  <c r="M28" i="3"/>
  <c r="K28" i="3"/>
  <c r="I28" i="3"/>
  <c r="E28" i="3"/>
  <c r="Q27" i="3"/>
  <c r="M27" i="3"/>
  <c r="K27" i="3"/>
  <c r="I27" i="3"/>
  <c r="G27" i="3"/>
  <c r="G26" i="3" s="1"/>
  <c r="E27" i="3"/>
  <c r="E26" i="3" s="1"/>
  <c r="Q25" i="3"/>
  <c r="M25" i="3"/>
  <c r="K25" i="3"/>
  <c r="I25" i="3"/>
  <c r="G25" i="3"/>
  <c r="E25" i="3"/>
  <c r="Q24" i="3"/>
  <c r="M24" i="3"/>
  <c r="K24" i="3"/>
  <c r="I24" i="3"/>
  <c r="G24" i="3"/>
  <c r="E24" i="3"/>
  <c r="Q23" i="3"/>
  <c r="M23" i="3"/>
  <c r="K23" i="3"/>
  <c r="I23" i="3"/>
  <c r="G23" i="3"/>
  <c r="E23" i="3"/>
  <c r="Q22" i="3"/>
  <c r="M22" i="3"/>
  <c r="K22" i="3"/>
  <c r="I22" i="3"/>
  <c r="G22" i="3"/>
  <c r="E22" i="3"/>
  <c r="Q21" i="3"/>
  <c r="M21" i="3"/>
  <c r="K21" i="3"/>
  <c r="I21" i="3"/>
  <c r="G21" i="3"/>
  <c r="E21" i="3"/>
  <c r="Q20" i="3"/>
  <c r="M20" i="3"/>
  <c r="K20" i="3"/>
  <c r="I20" i="3"/>
  <c r="G20" i="3"/>
  <c r="E20" i="3"/>
  <c r="Q19" i="3"/>
  <c r="M19" i="3"/>
  <c r="K19" i="3"/>
  <c r="I19" i="3"/>
  <c r="G19" i="3"/>
  <c r="E19" i="3"/>
  <c r="Q18" i="3"/>
  <c r="M18" i="3"/>
  <c r="K18" i="3"/>
  <c r="I18" i="3"/>
  <c r="G18" i="3"/>
  <c r="E18" i="3"/>
  <c r="Q17" i="3"/>
  <c r="M17" i="3"/>
  <c r="G17" i="3"/>
  <c r="Q16" i="3"/>
  <c r="M16" i="3"/>
  <c r="K16" i="3"/>
  <c r="I16" i="3"/>
  <c r="G16" i="3"/>
  <c r="E16" i="3"/>
  <c r="Q13" i="3"/>
  <c r="M13" i="3"/>
  <c r="Q12" i="3"/>
  <c r="M12" i="3"/>
  <c r="K12" i="3"/>
  <c r="I12" i="3"/>
  <c r="G12" i="3"/>
  <c r="E12" i="3"/>
  <c r="M11" i="3"/>
  <c r="K11" i="3"/>
  <c r="I11" i="3"/>
  <c r="G11" i="3"/>
  <c r="E11" i="3"/>
  <c r="M10" i="3"/>
  <c r="K10" i="3"/>
  <c r="I10" i="3"/>
  <c r="G10" i="3"/>
  <c r="E10" i="3"/>
  <c r="Q9" i="3"/>
  <c r="M9" i="3"/>
  <c r="K9" i="3"/>
  <c r="I9" i="3"/>
  <c r="G9" i="3"/>
  <c r="Q8" i="3"/>
  <c r="M8" i="3"/>
  <c r="K8" i="3"/>
  <c r="I8" i="3"/>
  <c r="G8" i="3"/>
  <c r="E8" i="3"/>
  <c r="H106" i="2"/>
  <c r="G106" i="2"/>
  <c r="F106" i="2"/>
  <c r="E106" i="2"/>
  <c r="D106" i="2"/>
  <c r="D76" i="2"/>
  <c r="L76" i="2"/>
  <c r="K76" i="2"/>
  <c r="F75" i="2"/>
  <c r="F76" i="2" s="1"/>
  <c r="E75" i="2"/>
  <c r="E76" i="2" s="1"/>
  <c r="D73" i="2"/>
  <c r="K73" i="2"/>
  <c r="F72" i="2"/>
  <c r="F73" i="2" s="1"/>
  <c r="E72" i="2"/>
  <c r="E73" i="2" s="1"/>
  <c r="D70" i="2"/>
  <c r="K70" i="2"/>
  <c r="F69" i="2"/>
  <c r="F70" i="2" s="1"/>
  <c r="E69" i="2"/>
  <c r="E70" i="2" s="1"/>
  <c r="D67" i="2"/>
  <c r="F66" i="2"/>
  <c r="F67" i="2" s="1"/>
  <c r="E66" i="2"/>
  <c r="E67" i="2" s="1"/>
  <c r="I50" i="2"/>
  <c r="I51" i="2" s="1"/>
  <c r="L48" i="2"/>
  <c r="K48" i="2"/>
  <c r="I47" i="2"/>
  <c r="I48" i="2" s="1"/>
  <c r="H47" i="2"/>
  <c r="L44" i="2"/>
  <c r="L45" i="2" s="1"/>
  <c r="K44" i="2"/>
  <c r="K45" i="2" s="1"/>
  <c r="I44" i="2"/>
  <c r="H44" i="2"/>
  <c r="H45" i="2" s="1"/>
  <c r="K42" i="2"/>
  <c r="H41" i="2"/>
  <c r="H42" i="2" s="1"/>
  <c r="I39" i="2"/>
  <c r="H39" i="2"/>
  <c r="L38" i="2"/>
  <c r="L39" i="2" s="1"/>
  <c r="K38" i="2"/>
  <c r="K39" i="2" s="1"/>
  <c r="H36" i="2"/>
  <c r="H60" i="2" s="1"/>
  <c r="L60" i="2"/>
  <c r="K35" i="2"/>
  <c r="I35" i="2"/>
  <c r="H29" i="2"/>
  <c r="H30" i="2" s="1"/>
  <c r="K59" i="2"/>
  <c r="I59" i="2"/>
  <c r="L59" i="2"/>
  <c r="H23" i="2"/>
  <c r="H24" i="2" s="1"/>
  <c r="H59" i="2" s="1"/>
  <c r="H21" i="2"/>
  <c r="L21" i="2"/>
  <c r="K21" i="2"/>
  <c r="I21" i="2"/>
  <c r="I18" i="2"/>
  <c r="H18" i="2"/>
  <c r="H58" i="2" s="1"/>
  <c r="L17" i="2"/>
  <c r="L18" i="2" s="1"/>
  <c r="G14" i="2"/>
  <c r="F14" i="2"/>
  <c r="E14" i="2"/>
  <c r="D14" i="2"/>
  <c r="Q7" i="3" l="1"/>
  <c r="Q59" i="3" s="1"/>
  <c r="M44" i="3"/>
  <c r="M7" i="3"/>
  <c r="M59" i="3" s="1"/>
  <c r="K15" i="3"/>
  <c r="M15" i="3"/>
  <c r="E29" i="3"/>
  <c r="E44" i="3"/>
  <c r="E15" i="3"/>
  <c r="Q15" i="3"/>
  <c r="Q44" i="3"/>
  <c r="I12" i="4"/>
  <c r="I11" i="4" s="1"/>
  <c r="G7" i="3"/>
  <c r="G15" i="3"/>
  <c r="I29" i="3"/>
  <c r="I44" i="3"/>
  <c r="J12" i="4"/>
  <c r="J11" i="4" s="1"/>
  <c r="Q25" i="4" s="1"/>
  <c r="K26" i="3"/>
  <c r="K52" i="3"/>
  <c r="K61" i="3" s="1"/>
  <c r="Q29" i="3"/>
  <c r="I24" i="1"/>
  <c r="F26" i="4"/>
  <c r="K7" i="3"/>
  <c r="I26" i="3"/>
  <c r="G44" i="3"/>
  <c r="H42" i="3"/>
  <c r="J42" i="3" s="1"/>
  <c r="K42" i="3" s="1"/>
  <c r="I52" i="3"/>
  <c r="I61" i="3" s="1"/>
  <c r="E7" i="3"/>
  <c r="M26" i="3"/>
  <c r="Q26" i="3"/>
  <c r="M39" i="3"/>
  <c r="G29" i="3"/>
  <c r="Q39" i="3"/>
  <c r="M52" i="3"/>
  <c r="M61" i="3" s="1"/>
  <c r="I7" i="3"/>
  <c r="I15" i="3"/>
  <c r="E39" i="3"/>
  <c r="Q52" i="3"/>
  <c r="Q61" i="3" s="1"/>
  <c r="E23" i="1"/>
  <c r="J60" i="2"/>
  <c r="K36" i="2"/>
  <c r="AA36" i="2" s="1"/>
  <c r="AA37" i="2"/>
  <c r="L14" i="2"/>
  <c r="L9" i="2" s="1"/>
  <c r="J8" i="2"/>
  <c r="K64" i="2"/>
  <c r="K10" i="2" s="1"/>
  <c r="I13" i="2"/>
  <c r="AA13" i="2" s="1"/>
  <c r="I10" i="2"/>
  <c r="I36" i="2"/>
  <c r="I14" i="2" s="1"/>
  <c r="I58" i="2"/>
  <c r="U12" i="4"/>
  <c r="H27" i="4"/>
  <c r="G26" i="4"/>
  <c r="L42" i="4"/>
  <c r="M42" i="4" s="1"/>
  <c r="N42" i="4" s="1"/>
  <c r="K12" i="4"/>
  <c r="P12" i="4"/>
  <c r="I59" i="3"/>
  <c r="K59" i="3"/>
  <c r="G61" i="3"/>
  <c r="I40" i="3"/>
  <c r="J40" i="3"/>
  <c r="K40" i="3" s="1"/>
  <c r="G59" i="3"/>
  <c r="H43" i="3"/>
  <c r="G40" i="3"/>
  <c r="G39" i="3" s="1"/>
  <c r="G14" i="3" s="1"/>
  <c r="G60" i="3" s="1"/>
  <c r="H14" i="2"/>
  <c r="K58" i="2"/>
  <c r="L58" i="2"/>
  <c r="F60" i="1"/>
  <c r="D58" i="1"/>
  <c r="E58" i="1"/>
  <c r="F58" i="1"/>
  <c r="D25" i="1"/>
  <c r="R24" i="4" l="1"/>
  <c r="R12" i="4" s="1"/>
  <c r="R11" i="4" s="1"/>
  <c r="M14" i="3"/>
  <c r="Q14" i="3"/>
  <c r="Q60" i="3" s="1"/>
  <c r="E14" i="3"/>
  <c r="E60" i="3" s="1"/>
  <c r="E6" i="3"/>
  <c r="AA10" i="2"/>
  <c r="G23" i="1"/>
  <c r="I23" i="1"/>
  <c r="E59" i="3"/>
  <c r="I42" i="3"/>
  <c r="K60" i="2"/>
  <c r="I9" i="2"/>
  <c r="I8" i="2" s="1"/>
  <c r="K14" i="2"/>
  <c r="K9" i="2" s="1"/>
  <c r="AD8" i="2"/>
  <c r="AE12" i="2"/>
  <c r="J7" i="2"/>
  <c r="AE10" i="2" s="1"/>
  <c r="AF13" i="2"/>
  <c r="I60" i="2"/>
  <c r="H26" i="4"/>
  <c r="I27" i="4"/>
  <c r="J27" i="4" s="1"/>
  <c r="K27" i="4" s="1"/>
  <c r="U11" i="4"/>
  <c r="M60" i="3"/>
  <c r="M6" i="3"/>
  <c r="M57" i="3"/>
  <c r="E10" i="1" s="1"/>
  <c r="Q57" i="3"/>
  <c r="F10" i="1" s="1"/>
  <c r="J43" i="3"/>
  <c r="K43" i="3" s="1"/>
  <c r="K39" i="3" s="1"/>
  <c r="K14" i="3" s="1"/>
  <c r="I43" i="3"/>
  <c r="G6" i="3"/>
  <c r="G57" i="3"/>
  <c r="D22" i="1"/>
  <c r="D23" i="1"/>
  <c r="H23" i="1" s="1"/>
  <c r="K28" i="1"/>
  <c r="K15" i="1"/>
  <c r="Q6" i="3" l="1"/>
  <c r="E57" i="3"/>
  <c r="E28" i="1"/>
  <c r="E27" i="1" s="1"/>
  <c r="E19" i="1"/>
  <c r="F28" i="1"/>
  <c r="F27" i="1" s="1"/>
  <c r="F19" i="1"/>
  <c r="I19" i="1" s="1"/>
  <c r="E16" i="1"/>
  <c r="E25" i="1" s="1"/>
  <c r="G25" i="1" s="1"/>
  <c r="L27" i="4"/>
  <c r="K28" i="4"/>
  <c r="K11" i="4" s="1"/>
  <c r="I39" i="3"/>
  <c r="I14" i="3" s="1"/>
  <c r="I57" i="3" s="1"/>
  <c r="K8" i="2"/>
  <c r="AA9" i="2"/>
  <c r="E9" i="1"/>
  <c r="I7" i="2"/>
  <c r="AD10" i="2" s="1"/>
  <c r="I60" i="3"/>
  <c r="K60" i="3"/>
  <c r="K6" i="3"/>
  <c r="K57" i="3"/>
  <c r="I25" i="1" l="1"/>
  <c r="H25" i="1"/>
  <c r="E34" i="1"/>
  <c r="M27" i="4"/>
  <c r="L28" i="4"/>
  <c r="I6" i="3"/>
  <c r="AF12" i="2"/>
  <c r="AA8" i="2"/>
  <c r="E13" i="1"/>
  <c r="G19" i="1"/>
  <c r="E18" i="1"/>
  <c r="E31" i="1" l="1"/>
  <c r="E30" i="1" s="1"/>
  <c r="L11" i="4"/>
  <c r="L26" i="4"/>
  <c r="N27" i="4"/>
  <c r="N28" i="4" s="1"/>
  <c r="M28" i="4"/>
  <c r="E22" i="1"/>
  <c r="H22" i="1" s="1"/>
  <c r="E12" i="1"/>
  <c r="E8" i="1" s="1"/>
  <c r="D21" i="1"/>
  <c r="D18" i="1"/>
  <c r="F18" i="1"/>
  <c r="I18" i="1" s="1"/>
  <c r="D12" i="1"/>
  <c r="D9" i="1"/>
  <c r="F9" i="1"/>
  <c r="E26" i="1" l="1"/>
  <c r="E38" i="1" s="1"/>
  <c r="M11" i="4"/>
  <c r="M26" i="4"/>
  <c r="N26" i="4"/>
  <c r="N11" i="4"/>
  <c r="D8" i="1"/>
  <c r="G22" i="1"/>
  <c r="E21" i="1"/>
  <c r="D17" i="1"/>
  <c r="E17" i="1" l="1"/>
  <c r="H17" i="1" s="1"/>
  <c r="K21" i="1"/>
  <c r="E35" i="1"/>
  <c r="E37" i="1"/>
  <c r="E39" i="1"/>
  <c r="C30" i="1"/>
  <c r="C21" i="1"/>
  <c r="G21" i="1" s="1"/>
  <c r="C12" i="1"/>
  <c r="E36" i="1" l="1"/>
  <c r="H24" i="1"/>
  <c r="H19" i="1"/>
  <c r="D60" i="1" l="1"/>
  <c r="E60" i="1"/>
  <c r="H21" i="1" l="1"/>
  <c r="C60" i="1" l="1"/>
  <c r="C58" i="1"/>
  <c r="C50" i="1"/>
  <c r="C11" i="1" s="1"/>
  <c r="C20" i="1" l="1"/>
  <c r="C9" i="1"/>
  <c r="C8" i="1" s="1"/>
  <c r="C27" i="1"/>
  <c r="G20" i="1" l="1"/>
  <c r="C18" i="1"/>
  <c r="H20" i="1"/>
  <c r="G18" i="1" l="1"/>
  <c r="C17" i="1"/>
  <c r="G17" i="1" s="1"/>
  <c r="H18" i="1"/>
  <c r="C26" i="1" l="1"/>
  <c r="C35" i="1" s="1"/>
  <c r="C37" i="1" l="1"/>
  <c r="C39" i="1"/>
  <c r="C38" i="1"/>
  <c r="C36" i="1" l="1"/>
  <c r="L73" i="2"/>
  <c r="L64" i="2" s="1"/>
  <c r="L10" i="2" l="1"/>
  <c r="L8" i="2" s="1"/>
  <c r="L7" i="2" s="1"/>
  <c r="K7" i="2"/>
  <c r="F13" i="1" l="1"/>
  <c r="F22" i="1" s="1"/>
  <c r="I22" i="1" s="1"/>
  <c r="AE7" i="2"/>
  <c r="AD7" i="2"/>
  <c r="Q12" i="4"/>
  <c r="Q11" i="4" s="1"/>
  <c r="F12" i="1" l="1"/>
  <c r="F8" i="1" s="1"/>
  <c r="F31" i="1"/>
  <c r="F30" i="1" s="1"/>
  <c r="F26" i="1" s="1"/>
  <c r="F21" i="1"/>
  <c r="I21" i="1" s="1"/>
  <c r="F38" i="1" l="1"/>
  <c r="F35" i="1"/>
  <c r="F37" i="1"/>
  <c r="F39" i="1"/>
  <c r="F17" i="1"/>
  <c r="I17" i="1" s="1"/>
  <c r="F36" i="1" l="1"/>
  <c r="P11" i="4"/>
  <c r="P10" i="4"/>
</calcChain>
</file>

<file path=xl/sharedStrings.xml><?xml version="1.0" encoding="utf-8"?>
<sst xmlns="http://schemas.openxmlformats.org/spreadsheetml/2006/main" count="594" uniqueCount="354">
  <si>
    <t>PHỤ LỤC I</t>
  </si>
  <si>
    <t xml:space="preserve"> MỘT SỐ CHỈ TIÊU TỔNG HỢP KINH TẾ - XÃ HỘI </t>
  </si>
  <si>
    <t xml:space="preserve">Chỉ tiêu </t>
  </si>
  <si>
    <t xml:space="preserve">Đơn vị tính </t>
  </si>
  <si>
    <t>So sánh</t>
  </si>
  <si>
    <t>% so với cùng kỳ</t>
  </si>
  <si>
    <t>% so với kế hoạch</t>
  </si>
  <si>
    <t>A. Chỉ tiêu kinh tế</t>
  </si>
  <si>
    <t>1. Giá trị sản xuất (GO)</t>
  </si>
  <si>
    <t>1.1. Giá trị sản xuất (giá thực tế)</t>
  </si>
  <si>
    <t>Tr.đồng</t>
  </si>
  <si>
    <t>a) Công nghiệp - xây dựng</t>
  </si>
  <si>
    <t xml:space="preserve">  - Công nghiệp </t>
  </si>
  <si>
    <t xml:space="preserve">  - Xây dựng</t>
  </si>
  <si>
    <t>b) Nông, lâm, ngư nghiệp</t>
  </si>
  <si>
    <t xml:space="preserve">   - Lâm nghiệp</t>
  </si>
  <si>
    <t xml:space="preserve">   - Ngư nghiệp</t>
  </si>
  <si>
    <t>c) Dịch vụ</t>
  </si>
  <si>
    <t>1.2. Giá trị sản xuất (giá cố định 2010)</t>
  </si>
  <si>
    <t xml:space="preserve"> - Công nghiệp - Xây dựng</t>
  </si>
  <si>
    <t xml:space="preserve"> Trong đó : - Công nghiệp </t>
  </si>
  <si>
    <t xml:space="preserve">                   - Xây dựng</t>
  </si>
  <si>
    <t>- Nông Lâm - Thủy Sản</t>
  </si>
  <si>
    <t xml:space="preserve">                   - Nông nghiệp</t>
  </si>
  <si>
    <t xml:space="preserve">                   - Lâm nghiệp</t>
  </si>
  <si>
    <t xml:space="preserve">                    - Thủy sản</t>
  </si>
  <si>
    <t xml:space="preserve"> - Dịch vụ</t>
  </si>
  <si>
    <t xml:space="preserve"> * Thu nhập B/q đầu người</t>
  </si>
  <si>
    <t xml:space="preserve"> * Cơ cấu kinh tế</t>
  </si>
  <si>
    <t>%</t>
  </si>
  <si>
    <t xml:space="preserve">   - Công nghiệp - xây dựng</t>
  </si>
  <si>
    <t xml:space="preserve">   - Nông, lâm, ngư nghiệp</t>
  </si>
  <si>
    <t xml:space="preserve">   - Dịch vụ</t>
  </si>
  <si>
    <t>2. Thu, chi ngân sách</t>
  </si>
  <si>
    <t>2.1. Thu NSNN trên địa bàn</t>
  </si>
  <si>
    <t xml:space="preserve">Trong đó:  </t>
  </si>
  <si>
    <t xml:space="preserve">- Thu từ cấp quyền sử dụng đất </t>
  </si>
  <si>
    <t>- Thu ngoài quốc doanh</t>
  </si>
  <si>
    <t>- Thu các loại khác</t>
  </si>
  <si>
    <t>2.2. Thu bổ sung từ ngân sách tỉnh</t>
  </si>
  <si>
    <t>2.3. Tổng chi ngân sách địa phương</t>
  </si>
  <si>
    <t>a) Chi ĐTPT do địa phương quản lý</t>
  </si>
  <si>
    <t>b) Chi thường xuyên</t>
  </si>
  <si>
    <t xml:space="preserve">3. Tổng vốn đầu tư phát triển </t>
  </si>
  <si>
    <t xml:space="preserve">    - Trung ương quản lý</t>
  </si>
  <si>
    <t xml:space="preserve">    - Tỉnh quản lý</t>
  </si>
  <si>
    <t xml:space="preserve">    - Huyện quản lý</t>
  </si>
  <si>
    <t xml:space="preserve">    - Vốn DN và nhân dân </t>
  </si>
  <si>
    <t>B. Chỉ tiêu xã hội -Môi trường</t>
  </si>
  <si>
    <t xml:space="preserve"> 1. Dân số trung bình</t>
  </si>
  <si>
    <t>1000 người</t>
  </si>
  <si>
    <t xml:space="preserve">Trong đó: + Khu vực thành thị </t>
  </si>
  <si>
    <t xml:space="preserve">  + Khu vực nông thôn </t>
  </si>
  <si>
    <t xml:space="preserve">  - Dân tộc thiểu số</t>
  </si>
  <si>
    <t xml:space="preserve">  - Tỷ lệ dân cư đô thị </t>
  </si>
  <si>
    <t xml:space="preserve"> 2. Tổng số hộ</t>
  </si>
  <si>
    <t>Hộ</t>
  </si>
  <si>
    <t xml:space="preserve"> 3. Tỷ lệ tăng dân số tự nhiên</t>
  </si>
  <si>
    <t xml:space="preserve"> 4. Đào tạo lao động</t>
  </si>
  <si>
    <t>lao động</t>
  </si>
  <si>
    <t xml:space="preserve"> 5. Số lao động được giải quyết việc làm mới trong năm </t>
  </si>
  <si>
    <t>Người</t>
  </si>
  <si>
    <t xml:space="preserve"> 6. Tỷ lệ hộ nghèo theo chuẩn mới quốc gia</t>
  </si>
  <si>
    <t xml:space="preserve"> 7. Tỷ lệ trẻ em dưới 5 tuổi suy dinh dưỡng</t>
  </si>
  <si>
    <t xml:space="preserve"> 8. Tỷ lệ người dân tham gia BHYT</t>
  </si>
  <si>
    <t xml:space="preserve"> 10. Tỷ lệ chất thải rắn sinh hoạt được thu gom, xử lý</t>
  </si>
  <si>
    <t xml:space="preserve"> 11. Tỷ lệ độ che phủ rừng</t>
  </si>
  <si>
    <t>1.3. Tổng thu nhập phân theo nhóm ngành</t>
  </si>
  <si>
    <t xml:space="preserve"> 12. Lực lượng lao động trong độ tuổi tham gia BHXH</t>
  </si>
  <si>
    <t xml:space="preserve">   - Nông nghiệp</t>
  </si>
  <si>
    <t>Năm 2021</t>
  </si>
  <si>
    <t>Ước KH 2021/2020 (%)</t>
  </si>
  <si>
    <t>TH
2021</t>
  </si>
  <si>
    <t>KH năm 2022</t>
  </si>
  <si>
    <t xml:space="preserve">Tỉnh Thừa Thiên Huế </t>
  </si>
  <si>
    <t xml:space="preserve">Huyện Nam Đông </t>
  </si>
  <si>
    <t>STT</t>
  </si>
  <si>
    <t>Chỉ tiêu</t>
  </si>
  <si>
    <t>Đơn vị tính</t>
  </si>
  <si>
    <t>TH 2015</t>
  </si>
  <si>
    <t xml:space="preserve">THỰC HIỆN </t>
  </si>
  <si>
    <t>Ước TH năm 2020</t>
  </si>
  <si>
    <t>KẾ HOẠCH GIAI ĐOẠN 2020 - 2025</t>
  </si>
  <si>
    <t>Năm 2016</t>
  </si>
  <si>
    <t>Năm 2017</t>
  </si>
  <si>
    <t>Năm 2018</t>
  </si>
  <si>
    <t>Năm 2019</t>
  </si>
  <si>
    <t>KH Năm 2022</t>
  </si>
  <si>
    <t>Năm 2023</t>
  </si>
  <si>
    <t>I</t>
  </si>
  <si>
    <t>Ha</t>
  </si>
  <si>
    <t>Tấn</t>
  </si>
  <si>
    <t>Doanh thu Nông nghiệp (chưa trừ chi phí trung gian)</t>
  </si>
  <si>
    <t>1.4.1</t>
  </si>
  <si>
    <t>Cây Lúa:  Diện tích</t>
  </si>
  <si>
    <t xml:space="preserve">       Sản lượng</t>
  </si>
  <si>
    <t>Doanh thu</t>
  </si>
  <si>
    <t>Tr đồng</t>
  </si>
  <si>
    <t>1.4.2</t>
  </si>
  <si>
    <t>Cây Ngô:  Diện tích</t>
  </si>
  <si>
    <t>1.4.3</t>
  </si>
  <si>
    <t>Cây Sắn:  Diện tích</t>
  </si>
  <si>
    <t xml:space="preserve"> Sản lượng</t>
  </si>
  <si>
    <t>1.4.4</t>
  </si>
  <si>
    <t>Đậu các loại:  Diện tích</t>
  </si>
  <si>
    <t>1.4.5</t>
  </si>
  <si>
    <t>Rau các loại: Diện tích</t>
  </si>
  <si>
    <t xml:space="preserve">         Sản lượng</t>
  </si>
  <si>
    <t>Cao su:    Diện tích</t>
  </si>
  <si>
    <t>1.4.6</t>
  </si>
  <si>
    <t xml:space="preserve">    Sản lượng (mủ đông)</t>
  </si>
  <si>
    <t>1.4.7</t>
  </si>
  <si>
    <t>Cây hồ tiêu:    Diện tích</t>
  </si>
  <si>
    <t xml:space="preserve">          Sản lượng </t>
  </si>
  <si>
    <t>1.4.8</t>
  </si>
  <si>
    <t>Cây cam:    Diện tích</t>
  </si>
  <si>
    <t xml:space="preserve">      Sản lượng </t>
  </si>
  <si>
    <t>1.4.9</t>
  </si>
  <si>
    <t>Cây chuối:    Diện tích</t>
  </si>
  <si>
    <t>1.4.10</t>
  </si>
  <si>
    <t>Dứa:    Diện tích</t>
  </si>
  <si>
    <t>1.4.11</t>
  </si>
  <si>
    <t>Cây cau:    Diện tích</t>
  </si>
  <si>
    <t>1.4.12</t>
  </si>
  <si>
    <t>Các loại cây lâu năm  khác</t>
  </si>
  <si>
    <t>Thu khác ( bán cao su)</t>
  </si>
  <si>
    <t>1.4.13</t>
  </si>
  <si>
    <t>Các loại cây khác ngắn ngày khác</t>
  </si>
  <si>
    <t>1.5</t>
  </si>
  <si>
    <t>Giá trị thu hoạch/ha DT canh tác đất NN</t>
  </si>
  <si>
    <t>Triệu đồng</t>
  </si>
  <si>
    <t>GTTH/ha canh tác đất trồng cây hằng năm</t>
  </si>
  <si>
    <t>Giá trị thu hoạch/ha canh tác đất trồng lúa</t>
  </si>
  <si>
    <t>Giá trị thu hoạch/ha canh tác đất trồng sắn</t>
  </si>
  <si>
    <t>GT thu hoạch/ha canh tác đất trồng cao su</t>
  </si>
  <si>
    <t>Giá trị thu hoạch/ha canh tác đất vườn</t>
  </si>
  <si>
    <t>Chăn nuôi</t>
  </si>
  <si>
    <t>Doanh thu chăn nuôi (chưa trừ chi phí trung gian)</t>
  </si>
  <si>
    <t> 2.1</t>
  </si>
  <si>
    <t>Đàn trâu hiện có</t>
  </si>
  <si>
    <t>Con</t>
  </si>
  <si>
    <t>Sản lượng</t>
  </si>
  <si>
    <t>Doanh thu (triệu đồng)</t>
  </si>
  <si>
    <t>2.2</t>
  </si>
  <si>
    <t>Đàn bò hiện có</t>
  </si>
  <si>
    <t>2.3</t>
  </si>
  <si>
    <t>Đàn lợn hiện có</t>
  </si>
  <si>
    <t>2.4 </t>
  </si>
  <si>
    <t>Gia cầm hiện có</t>
  </si>
  <si>
    <t>1000 Con</t>
  </si>
  <si>
    <t xml:space="preserve">Thuỷ sản </t>
  </si>
  <si>
    <t>Doanh thu Thủy sản (chưa trừ chi phí trung gian)</t>
  </si>
  <si>
    <t>3.1</t>
  </si>
  <si>
    <t>Diện tích nuôi trồng thuỷ hải sản</t>
  </si>
  <si>
    <t>m3</t>
  </si>
  <si>
    <t>Sản lượng thuỷ hải sản</t>
  </si>
  <si>
    <t xml:space="preserve">       Sản lượng Đánh bắt</t>
  </si>
  <si>
    <t xml:space="preserve">      Sản lượng nuôi trồng</t>
  </si>
  <si>
    <t>Lâm nghiệp</t>
  </si>
  <si>
    <t>Doanh thu Lâm nghiệp (chưa trừ chi phí trung gian)</t>
  </si>
  <si>
    <t>4.1</t>
  </si>
  <si>
    <t>4.2</t>
  </si>
  <si>
    <t>4.3</t>
  </si>
  <si>
    <t>4.4</t>
  </si>
  <si>
    <t>4.8</t>
  </si>
  <si>
    <t>Sản lượng khai thác gỗ</t>
  </si>
  <si>
    <t>1000 m3</t>
  </si>
  <si>
    <r>
      <t>Trong đó:</t>
    </r>
    <r>
      <rPr>
        <sz val="12"/>
        <rFont val="Times New Roman"/>
        <family val="1"/>
      </rPr>
      <t xml:space="preserve">  - Gỗ rừng tự nhiên</t>
    </r>
  </si>
  <si>
    <t xml:space="preserve">                  - Gỗ rừng trồng</t>
  </si>
  <si>
    <t>Doanh thu gỗ khác…</t>
  </si>
  <si>
    <t>Doanh thu gỗ rừng trồng</t>
  </si>
  <si>
    <t>Tr. Đồng</t>
  </si>
  <si>
    <t>Doanh thu gỗ khác và các sản phẩm săn bắt hái lượm thuần túy</t>
  </si>
  <si>
    <t>Mật ong</t>
  </si>
  <si>
    <t xml:space="preserve">            Sản lượng</t>
  </si>
  <si>
    <t>Hạt ươi</t>
  </si>
  <si>
    <t>Sắt bắt hái lượm các loại</t>
  </si>
  <si>
    <t>4.9</t>
  </si>
  <si>
    <t>thu từ cây mây</t>
  </si>
  <si>
    <t>Mây</t>
  </si>
  <si>
    <t>Biểu 02: CÁC SẢN PHẨM CHỦ YẾU</t>
  </si>
  <si>
    <t>Đơn vị báo cáo: Phòng Kinh tế và Hạ tầng</t>
  </si>
  <si>
    <t>Mã ngành</t>
  </si>
  <si>
    <t>TH năm 2020</t>
  </si>
  <si>
    <t>KH năm 2021</t>
  </si>
  <si>
    <t>TH năm 2021</t>
  </si>
  <si>
    <t>TH 2022</t>
  </si>
  <si>
    <t>KH 2023</t>
  </si>
  <si>
    <t>Sản phẩm</t>
  </si>
  <si>
    <t>Giá trị</t>
  </si>
  <si>
    <t xml:space="preserve">Tổng cộng </t>
  </si>
  <si>
    <t>- Công nghiệp khai thác</t>
  </si>
  <si>
    <t>Cát (Đen, Vàng)</t>
  </si>
  <si>
    <r>
      <t>1000M</t>
    </r>
    <r>
      <rPr>
        <vertAlign val="superscript"/>
        <sz val="14"/>
        <rFont val="Times New Roman"/>
        <family val="1"/>
      </rPr>
      <t>3</t>
    </r>
    <r>
      <rPr>
        <sz val="10"/>
        <rFont val="Arial"/>
        <family val="2"/>
      </rPr>
      <t/>
    </r>
  </si>
  <si>
    <t>Đá cuội, sỏi</t>
  </si>
  <si>
    <r>
      <t>1000m</t>
    </r>
    <r>
      <rPr>
        <vertAlign val="superscript"/>
        <sz val="14"/>
        <rFont val="Times New Roman"/>
        <family val="1"/>
      </rPr>
      <t>3</t>
    </r>
    <r>
      <rPr>
        <sz val="10"/>
        <rFont val="Arial"/>
        <family val="2"/>
      </rPr>
      <t/>
    </r>
  </si>
  <si>
    <t>Đá chẻ</t>
  </si>
  <si>
    <t>Đá dăm các loại</t>
  </si>
  <si>
    <r>
      <t>1000M</t>
    </r>
    <r>
      <rPr>
        <vertAlign val="superscript"/>
        <sz val="14"/>
        <rFont val="Times New Roman"/>
        <family val="1"/>
      </rPr>
      <t>2</t>
    </r>
  </si>
  <si>
    <t xml:space="preserve">Đất </t>
  </si>
  <si>
    <t>Gạch không nung</t>
  </si>
  <si>
    <t>1000v</t>
  </si>
  <si>
    <t>II</t>
  </si>
  <si>
    <t>Công nghiệp chế biến</t>
  </si>
  <si>
    <t>Sản xuất và chế biến thực phẩm</t>
  </si>
  <si>
    <t>Chè búp sấy khô</t>
  </si>
  <si>
    <t>Cau sấy khô</t>
  </si>
  <si>
    <t>Giò chả các loại</t>
  </si>
  <si>
    <t>Gạo xay xát</t>
  </si>
  <si>
    <t>Bột xay xát</t>
  </si>
  <si>
    <t>Bánh mỳ</t>
  </si>
  <si>
    <t>Bún, bánh phở tươi</t>
  </si>
  <si>
    <t>Đậu phụ</t>
  </si>
  <si>
    <t>Nước đá</t>
  </si>
  <si>
    <t>Nước tinh khiết</t>
  </si>
  <si>
    <r>
      <t>1000</t>
    </r>
    <r>
      <rPr>
        <vertAlign val="superscript"/>
        <sz val="14"/>
        <rFont val="Times New Roman"/>
        <family val="1"/>
      </rPr>
      <t>lít</t>
    </r>
  </si>
  <si>
    <t xml:space="preserve">2. </t>
  </si>
  <si>
    <t>Sản xuất trang phục, dệt</t>
  </si>
  <si>
    <t>Quần áo</t>
  </si>
  <si>
    <t>1000sp</t>
  </si>
  <si>
    <t>Khẩu trang y tế</t>
  </si>
  <si>
    <t>1000 cái</t>
  </si>
  <si>
    <t xml:space="preserve">3. </t>
  </si>
  <si>
    <t>Chế biến gỗ, SP tết bện</t>
  </si>
  <si>
    <t>Gỗ xẻ các loại</t>
  </si>
  <si>
    <r>
      <t>m</t>
    </r>
    <r>
      <rPr>
        <vertAlign val="superscript"/>
        <sz val="14"/>
        <rFont val="Times New Roman"/>
        <family val="1"/>
      </rPr>
      <t>2</t>
    </r>
  </si>
  <si>
    <t>Gỗ dăm các loại</t>
  </si>
  <si>
    <t xml:space="preserve"> tấn</t>
  </si>
  <si>
    <t>Viên nén năng lượng</t>
  </si>
  <si>
    <t>Tăm tre các loại</t>
  </si>
  <si>
    <t>Quan tài</t>
  </si>
  <si>
    <t xml:space="preserve"> Cái</t>
  </si>
  <si>
    <t>Vàng mã</t>
  </si>
  <si>
    <t>Chổi đót</t>
  </si>
  <si>
    <r>
      <t>1000</t>
    </r>
    <r>
      <rPr>
        <vertAlign val="superscript"/>
        <sz val="14"/>
        <rFont val="Times New Roman"/>
        <family val="1"/>
      </rPr>
      <t>cái</t>
    </r>
  </si>
  <si>
    <t>4.</t>
  </si>
  <si>
    <t>Sản xuất sản phẩm từ cao su</t>
  </si>
  <si>
    <t xml:space="preserve"> SX SP từ cao su</t>
  </si>
  <si>
    <t>5.</t>
  </si>
  <si>
    <t>Sản xuất sản phẩm từ kim loại đúc sẳn</t>
  </si>
  <si>
    <t>Cửa hoa bằng sắt</t>
  </si>
  <si>
    <r>
      <t xml:space="preserve"> M</t>
    </r>
    <r>
      <rPr>
        <vertAlign val="superscript"/>
        <sz val="14"/>
        <rFont val="Times New Roman"/>
        <family val="1"/>
      </rPr>
      <t>2</t>
    </r>
  </si>
  <si>
    <t>Cửa nhôm kính</t>
  </si>
  <si>
    <r>
      <t>1000 m</t>
    </r>
    <r>
      <rPr>
        <vertAlign val="superscript"/>
        <sz val="14"/>
        <rFont val="Times New Roman"/>
        <family val="1"/>
      </rPr>
      <t>2</t>
    </r>
  </si>
  <si>
    <t>Dao, kéo các loại</t>
  </si>
  <si>
    <t>Cuốc thuổng các loại</t>
  </si>
  <si>
    <t>Sản xuất tủ giường bàn ghế các loại</t>
  </si>
  <si>
    <t>Sa lông gỗ không khảm</t>
  </si>
  <si>
    <t>Bộ</t>
  </si>
  <si>
    <t>Cửa gỗ các loại</t>
  </si>
  <si>
    <t>m2</t>
  </si>
  <si>
    <t>Bàn bằng gỗ các loại</t>
  </si>
  <si>
    <t>Cái</t>
  </si>
  <si>
    <t>Ghế các loại</t>
  </si>
  <si>
    <t>Tủ bằng gỗ các loại</t>
  </si>
  <si>
    <t>Giường bằng gỗ các loại</t>
  </si>
  <si>
    <t>Tủ chè</t>
  </si>
  <si>
    <t>III</t>
  </si>
  <si>
    <t>- Sản xuất và phân phối điện, nước</t>
  </si>
  <si>
    <t>Phân phối điện</t>
  </si>
  <si>
    <t>Sản lượng điện khai thác</t>
  </si>
  <si>
    <t>Sản lượng nước sinh hoạt</t>
  </si>
  <si>
    <t>Giá trị sản xuất công nghiệp (theo giá thực tế)</t>
  </si>
  <si>
    <t>Chia ra:</t>
  </si>
  <si>
    <t>Công nghiệp khai thác</t>
  </si>
  <si>
    <t>Chế biến thực phẩm</t>
  </si>
  <si>
    <t>Sản xuất và phân phối điện nước</t>
  </si>
  <si>
    <t>Mẫu số 03</t>
  </si>
  <si>
    <t>BIỂU CÁC CHỈ TIÊU VỀ TÌNH HÌNH PHÁT TRIỂN CÁC LĨNH VỰC DỊCH VỤ</t>
  </si>
  <si>
    <t>Du lịch</t>
  </si>
  <si>
    <t>Tổng lượt khách lưu trú</t>
  </si>
  <si>
    <t> 1000 Lượt khách</t>
  </si>
  <si>
    <t>Trong đó: - Khách quốc tế</t>
  </si>
  <si>
    <t xml:space="preserve">                - Khách nội địa</t>
  </si>
  <si>
    <t>Doanh thu du lịch (chưa trừ chi phí trung gian)</t>
  </si>
  <si>
    <t>Tổng Doanh thu Thương mại, dịch vụ, Du lịch (chưa trừ chi phí trung gian) (= I+II+III+IV)</t>
  </si>
  <si>
    <t>Thương mại (= 1+2+…7)</t>
  </si>
  <si>
    <t>Tổng mức bản lẻ hàng hoá và doanh thu dịch vụ tiêu dùng</t>
  </si>
  <si>
    <t>Dịch vụ lưu trú và ăn uống</t>
  </si>
  <si>
    <t>Số lao động</t>
  </si>
  <si>
    <t>người</t>
  </si>
  <si>
    <t>Doanh thu doanh Thương mại, bán buôn, bán lẻ, sửa chưa xe có động cơ</t>
  </si>
  <si>
    <t>Hoạt động dịch vụ khác</t>
  </si>
  <si>
    <t xml:space="preserve">Doanh nghiệp Bán buôn và bán lẻ; sửa chữa ô tô, mô tô, xe máy và xe có động cơ khác </t>
  </si>
  <si>
    <t>Doanh nghiệp</t>
  </si>
  <si>
    <t>Hoạt động kinh doanh bất động sản</t>
  </si>
  <si>
    <t>Số cơ sở</t>
  </si>
  <si>
    <t>cơ sở</t>
  </si>
  <si>
    <t>Thu nhập từ kinh tế chưa quan sát, kinh tế số</t>
  </si>
  <si>
    <t>Giao thông - Vận tải</t>
  </si>
  <si>
    <t>Số cơ sở kinh doanh vận tải</t>
  </si>
  <si>
    <t>Cơ sở</t>
  </si>
  <si>
    <t>Doanh thu vận tải ( chưa trừ chi phí)</t>
  </si>
  <si>
    <t>Hạ tầng giao thông</t>
  </si>
  <si>
    <t>Tổng số chiều dài đường huyện lộ</t>
  </si>
  <si>
    <t>Km</t>
  </si>
  <si>
    <t xml:space="preserve"> Tỷ lệ đường huyện lộ được nhựa, bê tông hóa</t>
  </si>
  <si>
    <t>Tổng số chiều dài đường liên xã, xã</t>
  </si>
  <si>
    <t xml:space="preserve"> Tỷ lệ đường liên xã, xã được nhựa, bê tông hóa</t>
  </si>
  <si>
    <t>Số km đường giao thông nông thôn được kiên cố hoá</t>
  </si>
  <si>
    <t>Tỷ lệ đường giao thông nông thôn được kiên cố hoá</t>
  </si>
  <si>
    <t>Số km giao thông nội đồng được kiên cố hoá</t>
  </si>
  <si>
    <t>Tỷ lệ km giao thông nội đồng được kiên cố hoá</t>
  </si>
  <si>
    <t>IV</t>
  </si>
  <si>
    <t>Bưu chính viễn thông, CNTT</t>
  </si>
  <si>
    <t>Số thuê bao điện thoại/100 dân</t>
  </si>
  <si>
    <t>máy</t>
  </si>
  <si>
    <t>Số thuê bao Internet/100 dân</t>
  </si>
  <si>
    <t>Thuê bao</t>
  </si>
  <si>
    <t>Số điểm kinh doanh dịch vụ Internet</t>
  </si>
  <si>
    <t>Điểm</t>
  </si>
  <si>
    <t>Tổng doanh thu ngành bưu chính, viễn thông, CNTT</t>
  </si>
  <si>
    <t>KH năm 2023</t>
  </si>
  <si>
    <t>TH Năm 2022</t>
  </si>
  <si>
    <t>Cây có củ lấy bột khác</t>
  </si>
  <si>
    <t>1,4,6</t>
  </si>
  <si>
    <t>Ước TH  năm 2022</t>
  </si>
  <si>
    <t>+ Trồng trọt</t>
  </si>
  <si>
    <t>+ Chăn nuôi</t>
  </si>
  <si>
    <t>+ Dịch vụ và các hoạt động khác</t>
  </si>
  <si>
    <t>Trứng các loại</t>
  </si>
  <si>
    <t>2.5</t>
  </si>
  <si>
    <t>ngàn quả</t>
  </si>
  <si>
    <t>2.6</t>
  </si>
  <si>
    <t>Ong nuôi các loại</t>
  </si>
  <si>
    <t>Lít</t>
  </si>
  <si>
    <t>2.7</t>
  </si>
  <si>
    <t>Chăn nuôi khác</t>
  </si>
  <si>
    <t>Nông lâm- Thủy sản</t>
  </si>
  <si>
    <t>- Lâm nghiệp</t>
  </si>
  <si>
    <t xml:space="preserve"> - Ngư nghiệp</t>
  </si>
  <si>
    <t>KH Năm 2023</t>
  </si>
  <si>
    <t>KH Năm 2024</t>
  </si>
  <si>
    <t>KH Năm 2025</t>
  </si>
  <si>
    <t>KH Năm 2026</t>
  </si>
  <si>
    <t>KH Năm 2027</t>
  </si>
  <si>
    <t>KH Năm 2028</t>
  </si>
  <si>
    <t>KH Năm 2029</t>
  </si>
  <si>
    <t>KH Năm 2030</t>
  </si>
  <si>
    <t>KH Năm 2031</t>
  </si>
  <si>
    <t xml:space="preserve"> KH 2023/2022 (%)</t>
  </si>
  <si>
    <t>% so với cùng kỳ 2021</t>
  </si>
  <si>
    <t>% so với kế hoạch 2022</t>
  </si>
  <si>
    <t xml:space="preserve"> LĨNH VỰC NÔNG, LÂM, NGƯ NGHIỆP </t>
  </si>
  <si>
    <t>Trồng trọt</t>
  </si>
  <si>
    <t>Tài chính tín dụng, kinh doanh dịch vụ tài sản tư vấn, Dịch vụ công (lương và các khoản mang tính chất lương)</t>
  </si>
  <si>
    <t>KẾ HOẠCH GIAI ĐOẠN 2022 - 2023</t>
  </si>
  <si>
    <t>367,8 ha</t>
  </si>
  <si>
    <t>24-26</t>
  </si>
  <si>
    <t>27-29</t>
  </si>
  <si>
    <t>Năm 2022</t>
  </si>
  <si>
    <t>%o</t>
  </si>
  <si>
    <t xml:space="preserve"> 9. Tỷ lệ dân số sử dụng nước sạch</t>
  </si>
  <si>
    <t>(Kèm theo Báo cáo số: 658 /BC-UBND ngày 07 tháng 12  năm 2022 của UBND huyện Nam Đông)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</si>
</sst>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??_-;_-@_-"/>
    <numFmt numFmtId="167" formatCode="0.00;[Red]0.00"/>
    <numFmt numFmtId="168" formatCode="_(* #,##0_);_(* \(#,##0\);_(* &quot;-&quot;??_);_(@_)"/>
    <numFmt numFmtId="169" formatCode="#,##0;[Red]#,##0"/>
    <numFmt numFmtId="170" formatCode="_(* #,##0.0_);_(* \(#,##0.0\);_(* &quot;-&quot;??_);_(@_)"/>
    <numFmt numFmtId="171" formatCode="0;[Red]0"/>
    <numFmt numFmtId="172" formatCode="_(* #,##0.000_);_(* \(#,##0.000\);_(* &quot;-&quot;??_);_(@_)"/>
    <numFmt numFmtId="173" formatCode="_-* #,##0_-;\-* #,##0_-;_-* \-??_-;_-@_-"/>
    <numFmt numFmtId="174" formatCode="#,##0.0;[Red]#,##0.0"/>
    <numFmt numFmtId="175" formatCode="#,##0.00;[Red]#,##0.00"/>
    <numFmt numFmtId="176" formatCode="_-* #,##0.0_-;\-* #,##0.0_-;_-* &quot;-&quot;??_-;_-@_-"/>
    <numFmt numFmtId="177" formatCode="#,##0.000;[Red]#,##0.000"/>
    <numFmt numFmtId="178" formatCode="_(* #,##0.000_);_(* \(#,##0.000\);_(* &quot;-&quot;???_);_(@_)"/>
    <numFmt numFmtId="179" formatCode="#.##;[Red]#.##"/>
    <numFmt numFmtId="180" formatCode="_-* #,##0_-;\-* #,##0_-;_-* &quot;-&quot;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 * #,##0_ ;_ * \-#,##0_ ;_ * &quot;-&quot;_ ;_ @_ "/>
    <numFmt numFmtId="184" formatCode="\$#,##0\ ;\(\$#,##0\)"/>
    <numFmt numFmtId="185" formatCode="&quot;\&quot;#,##0;[Red]&quot;\&quot;\-#,##0"/>
    <numFmt numFmtId="186" formatCode="&quot;\&quot;#,##0.00;[Red]&quot;\&quot;\-#,##0.00"/>
    <numFmt numFmtId="187" formatCode="&quot;\&quot;#,##0;[Red]&quot;\&quot;&quot;\&quot;\-#,##0"/>
    <numFmt numFmtId="188" formatCode="&quot;\&quot;#,##0.00;[Red]&quot;\&quot;&quot;\&quot;&quot;\&quot;&quot;\&quot;&quot;\&quot;&quot;\&quot;\-#,##0.00"/>
    <numFmt numFmtId="189" formatCode="&quot;$&quot;\ #,##0;[Red]&quot;$&quot;\ \-#,##0"/>
    <numFmt numFmtId="190" formatCode="&quot;VND&quot;#,##0_);[Red]\(&quot;VND&quot;#,##0\)"/>
    <numFmt numFmtId="191" formatCode="_(* #,##0.0_);_(* \(#,##0.0\);_(* &quot;-&quot;?_);_(@_)"/>
    <numFmt numFmtId="192" formatCode="0.0"/>
    <numFmt numFmtId="193" formatCode="_(* #,##0_);_(* \(#,##0\);_(* &quot;-&quot;?_);_(@_)"/>
    <numFmt numFmtId="194" formatCode="_(* #,##0.000000_);_(* \(#,##0.000000\);_(* &quot;-&quot;??_);_(@_)"/>
    <numFmt numFmtId="195" formatCode="_(* #,##0.00000_);_(* \(#,##0.00000\);_(* &quot;-&quot;??_);_(@_)"/>
    <numFmt numFmtId="196" formatCode="#,##0.0"/>
    <numFmt numFmtId="197" formatCode="0.000"/>
    <numFmt numFmtId="198" formatCode="_-* #,##0_-;\-* #,##0_-;_-* &quot;-&quot;??_-;_-@_-"/>
    <numFmt numFmtId="199" formatCode="_(* #,##0.0000_);_(* \(#,##0.0000\);_(* &quot;-&quot;??_);_(@_)"/>
  </numFmts>
  <fonts count="6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name val="Times New Roman"/>
      <family val="1"/>
    </font>
    <font>
      <sz val="11"/>
      <name val=".VnTime"/>
      <family val="2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12"/>
      <name val=".VnTime"/>
      <family val="2"/>
    </font>
    <font>
      <i/>
      <sz val="12"/>
      <name val=".VnTime"/>
      <family val="2"/>
    </font>
    <font>
      <b/>
      <i/>
      <sz val="12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"/>
      <family val="1"/>
      <charset val="129"/>
    </font>
    <font>
      <sz val="11"/>
      <name val="??"/>
      <family val="3"/>
      <charset val="129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Times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VNtimes New Roman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i/>
      <sz val="11"/>
      <name val="Times New Roman"/>
      <family val="1"/>
    </font>
    <font>
      <i/>
      <sz val="12"/>
      <color rgb="FFFF0000"/>
      <name val="Times New Roman"/>
      <family val="1"/>
    </font>
    <font>
      <b/>
      <i/>
      <sz val="14"/>
      <name val="Times New Roman"/>
      <family val="1"/>
    </font>
    <font>
      <b/>
      <i/>
      <sz val="14"/>
      <color theme="1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  <charset val="163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" fontId="4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6" fontId="1" fillId="0" borderId="0" applyFont="0" applyFill="0" applyBorder="0" applyAlignment="0" applyProtection="0"/>
    <xf numFmtId="0" fontId="14" fillId="0" borderId="0"/>
    <xf numFmtId="0" fontId="9" fillId="0" borderId="0"/>
    <xf numFmtId="0" fontId="15" fillId="0" borderId="0" applyFont="0" applyFill="0" applyBorder="0" applyAlignment="0" applyProtection="0"/>
    <xf numFmtId="183" fontId="16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9" fillId="2" borderId="0"/>
    <xf numFmtId="0" fontId="20" fillId="2" borderId="0"/>
    <xf numFmtId="0" fontId="21" fillId="2" borderId="0"/>
    <xf numFmtId="0" fontId="22" fillId="0" borderId="0">
      <alignment wrapText="1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4" fillId="0" borderId="0"/>
    <xf numFmtId="165" fontId="14" fillId="0" borderId="0" applyFont="0" applyFill="0" applyBorder="0" applyAlignment="0" applyProtection="0"/>
    <xf numFmtId="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25" fillId="0" borderId="12" applyNumberFormat="0" applyAlignment="0" applyProtection="0">
      <alignment horizontal="left" vertical="center"/>
    </xf>
    <xf numFmtId="0" fontId="25" fillId="0" borderId="13">
      <alignment horizontal="left" vertical="center"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ont="0" applyFill="0" applyAlignment="0"/>
    <xf numFmtId="190" fontId="28" fillId="0" borderId="0"/>
    <xf numFmtId="0" fontId="9" fillId="0" borderId="0"/>
    <xf numFmtId="0" fontId="9" fillId="0" borderId="0"/>
    <xf numFmtId="0" fontId="9" fillId="0" borderId="14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8" fillId="0" borderId="0">
      <alignment vertical="center"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34" fillId="0" borderId="0"/>
    <xf numFmtId="0" fontId="27" fillId="0" borderId="0"/>
    <xf numFmtId="18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9" fontId="35" fillId="0" borderId="0" applyFont="0" applyFill="0" applyBorder="0" applyAlignment="0" applyProtection="0"/>
    <xf numFmtId="182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15">
    <xf numFmtId="0" fontId="0" fillId="0" borderId="0" xfId="0"/>
    <xf numFmtId="0" fontId="4" fillId="0" borderId="0" xfId="0" applyFont="1"/>
    <xf numFmtId="0" fontId="7" fillId="0" borderId="0" xfId="0" applyFont="1"/>
    <xf numFmtId="1" fontId="6" fillId="0" borderId="8" xfId="3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170" fontId="11" fillId="0" borderId="0" xfId="4" applyNumberFormat="1" applyFont="1" applyFill="1"/>
    <xf numFmtId="170" fontId="4" fillId="0" borderId="0" xfId="4" applyNumberFormat="1" applyFont="1" applyFill="1"/>
    <xf numFmtId="0" fontId="12" fillId="0" borderId="0" xfId="0" applyFont="1"/>
    <xf numFmtId="0" fontId="11" fillId="0" borderId="0" xfId="0" applyFont="1"/>
    <xf numFmtId="170" fontId="0" fillId="0" borderId="0" xfId="0" applyNumberFormat="1"/>
    <xf numFmtId="3" fontId="4" fillId="0" borderId="0" xfId="0" applyNumberFormat="1" applyFont="1"/>
    <xf numFmtId="49" fontId="6" fillId="0" borderId="19" xfId="0" applyNumberFormat="1" applyFont="1" applyBorder="1" applyAlignment="1">
      <alignment horizontal="left"/>
    </xf>
    <xf numFmtId="0" fontId="8" fillId="0" borderId="20" xfId="0" applyFont="1" applyBorder="1"/>
    <xf numFmtId="0" fontId="6" fillId="0" borderId="20" xfId="0" applyFont="1" applyBorder="1" applyAlignment="1">
      <alignment horizontal="center"/>
    </xf>
    <xf numFmtId="167" fontId="8" fillId="0" borderId="20" xfId="0" applyNumberFormat="1" applyFont="1" applyBorder="1"/>
    <xf numFmtId="167" fontId="8" fillId="0" borderId="21" xfId="0" applyNumberFormat="1" applyFont="1" applyBorder="1"/>
    <xf numFmtId="49" fontId="6" fillId="0" borderId="22" xfId="0" applyNumberFormat="1" applyFont="1" applyBorder="1" applyAlignment="1">
      <alignment horizontal="left"/>
    </xf>
    <xf numFmtId="0" fontId="8" fillId="0" borderId="10" xfId="0" applyFont="1" applyBorder="1"/>
    <xf numFmtId="168" fontId="6" fillId="0" borderId="10" xfId="4" applyNumberFormat="1" applyFont="1" applyFill="1" applyBorder="1" applyAlignment="1">
      <alignment horizontal="center"/>
    </xf>
    <xf numFmtId="168" fontId="6" fillId="0" borderId="10" xfId="4" applyNumberFormat="1" applyFont="1" applyFill="1" applyBorder="1" applyAlignment="1">
      <alignment horizontal="right"/>
    </xf>
    <xf numFmtId="167" fontId="8" fillId="0" borderId="10" xfId="0" applyNumberFormat="1" applyFont="1" applyBorder="1"/>
    <xf numFmtId="167" fontId="8" fillId="0" borderId="23" xfId="0" applyNumberFormat="1" applyFont="1" applyBorder="1"/>
    <xf numFmtId="49" fontId="6" fillId="0" borderId="22" xfId="0" applyNumberFormat="1" applyFont="1" applyBorder="1"/>
    <xf numFmtId="0" fontId="6" fillId="0" borderId="10" xfId="0" applyFont="1" applyBorder="1" applyAlignment="1">
      <alignment horizontal="center"/>
    </xf>
    <xf numFmtId="169" fontId="6" fillId="0" borderId="10" xfId="4" applyNumberFormat="1" applyFont="1" applyFill="1" applyBorder="1" applyAlignment="1">
      <alignment horizontal="right"/>
    </xf>
    <xf numFmtId="169" fontId="6" fillId="0" borderId="10" xfId="5" applyNumberFormat="1" applyFont="1" applyFill="1" applyBorder="1" applyAlignment="1">
      <alignment horizontal="right"/>
    </xf>
    <xf numFmtId="170" fontId="6" fillId="0" borderId="10" xfId="4" applyNumberFormat="1" applyFont="1" applyFill="1" applyBorder="1"/>
    <xf numFmtId="170" fontId="6" fillId="0" borderId="23" xfId="4" applyNumberFormat="1" applyFont="1" applyFill="1" applyBorder="1"/>
    <xf numFmtId="167" fontId="6" fillId="0" borderId="10" xfId="0" applyNumberFormat="1" applyFont="1" applyBorder="1"/>
    <xf numFmtId="49" fontId="10" fillId="0" borderId="22" xfId="0" applyNumberFormat="1" applyFont="1" applyBorder="1" applyAlignment="1">
      <alignment horizontal="left" indent="5"/>
    </xf>
    <xf numFmtId="0" fontId="10" fillId="0" borderId="10" xfId="0" applyFont="1" applyBorder="1" applyAlignment="1">
      <alignment horizontal="center"/>
    </xf>
    <xf numFmtId="169" fontId="8" fillId="0" borderId="10" xfId="5" applyNumberFormat="1" applyFont="1" applyFill="1" applyBorder="1" applyAlignment="1">
      <alignment horizontal="right"/>
    </xf>
    <xf numFmtId="168" fontId="10" fillId="0" borderId="10" xfId="4" applyNumberFormat="1" applyFont="1" applyFill="1" applyBorder="1"/>
    <xf numFmtId="167" fontId="10" fillId="0" borderId="10" xfId="0" applyNumberFormat="1" applyFont="1" applyBorder="1"/>
    <xf numFmtId="168" fontId="10" fillId="0" borderId="10" xfId="0" applyNumberFormat="1" applyFont="1" applyBorder="1"/>
    <xf numFmtId="169" fontId="10" fillId="0" borderId="10" xfId="4" applyNumberFormat="1" applyFont="1" applyFill="1" applyBorder="1" applyAlignment="1">
      <alignment horizontal="right"/>
    </xf>
    <xf numFmtId="168" fontId="6" fillId="0" borderId="10" xfId="4" applyNumberFormat="1" applyFont="1" applyFill="1" applyBorder="1"/>
    <xf numFmtId="174" fontId="10" fillId="0" borderId="10" xfId="4" applyNumberFormat="1" applyFont="1" applyFill="1" applyBorder="1" applyAlignment="1">
      <alignment horizontal="right"/>
    </xf>
    <xf numFmtId="171" fontId="10" fillId="0" borderId="10" xfId="0" applyNumberFormat="1" applyFont="1" applyBorder="1"/>
    <xf numFmtId="169" fontId="8" fillId="0" borderId="10" xfId="0" applyNumberFormat="1" applyFont="1" applyBorder="1"/>
    <xf numFmtId="169" fontId="6" fillId="0" borderId="10" xfId="4" applyNumberFormat="1" applyFont="1" applyFill="1" applyBorder="1" applyAlignment="1"/>
    <xf numFmtId="172" fontId="6" fillId="0" borderId="10" xfId="4" applyNumberFormat="1" applyFont="1" applyFill="1" applyBorder="1"/>
    <xf numFmtId="169" fontId="6" fillId="0" borderId="10" xfId="0" applyNumberFormat="1" applyFont="1" applyBorder="1" applyAlignment="1">
      <alignment horizontal="right"/>
    </xf>
    <xf numFmtId="9" fontId="8" fillId="0" borderId="10" xfId="0" applyNumberFormat="1" applyFont="1" applyBorder="1"/>
    <xf numFmtId="9" fontId="8" fillId="0" borderId="23" xfId="0" applyNumberFormat="1" applyFont="1" applyBorder="1"/>
    <xf numFmtId="172" fontId="8" fillId="0" borderId="10" xfId="4" applyNumberFormat="1" applyFont="1" applyFill="1" applyBorder="1"/>
    <xf numFmtId="165" fontId="8" fillId="0" borderId="23" xfId="4" applyFont="1" applyFill="1" applyBorder="1"/>
    <xf numFmtId="49" fontId="10" fillId="0" borderId="22" xfId="0" applyNumberFormat="1" applyFont="1" applyBorder="1"/>
    <xf numFmtId="169" fontId="10" fillId="0" borderId="10" xfId="4" applyNumberFormat="1" applyFont="1" applyFill="1" applyBorder="1" applyAlignment="1" applyProtection="1">
      <alignment horizontal="right" vertical="center"/>
    </xf>
    <xf numFmtId="165" fontId="10" fillId="0" borderId="10" xfId="4" applyFont="1" applyFill="1" applyBorder="1" applyAlignment="1" applyProtection="1">
      <alignment horizontal="center" vertical="center"/>
    </xf>
    <xf numFmtId="165" fontId="10" fillId="0" borderId="23" xfId="4" applyFont="1" applyFill="1" applyBorder="1" applyAlignment="1" applyProtection="1">
      <alignment horizontal="center" vertical="center"/>
    </xf>
    <xf numFmtId="168" fontId="6" fillId="0" borderId="22" xfId="4" applyNumberFormat="1" applyFont="1" applyFill="1" applyBorder="1" applyAlignment="1"/>
    <xf numFmtId="169" fontId="6" fillId="0" borderId="10" xfId="4" applyNumberFormat="1" applyFont="1" applyFill="1" applyBorder="1" applyAlignment="1" applyProtection="1">
      <alignment horizontal="right" vertical="center"/>
    </xf>
    <xf numFmtId="168" fontId="6" fillId="0" borderId="10" xfId="4" applyNumberFormat="1" applyFont="1" applyFill="1" applyBorder="1" applyAlignment="1" applyProtection="1">
      <alignment horizontal="center" vertical="center"/>
    </xf>
    <xf numFmtId="165" fontId="6" fillId="0" borderId="10" xfId="4" applyFont="1" applyFill="1" applyBorder="1" applyAlignment="1" applyProtection="1">
      <alignment horizontal="center" vertical="center"/>
    </xf>
    <xf numFmtId="165" fontId="10" fillId="0" borderId="23" xfId="4" applyFont="1" applyFill="1" applyBorder="1" applyAlignment="1" applyProtection="1">
      <alignment horizontal="right" vertical="center" wrapText="1"/>
    </xf>
    <xf numFmtId="169" fontId="10" fillId="0" borderId="10" xfId="4" applyNumberFormat="1" applyFont="1" applyFill="1" applyBorder="1" applyAlignment="1" applyProtection="1">
      <alignment horizontal="right" vertical="center" wrapText="1"/>
    </xf>
    <xf numFmtId="165" fontId="10" fillId="0" borderId="10" xfId="4" applyFont="1" applyFill="1" applyBorder="1" applyAlignment="1" applyProtection="1">
      <alignment horizontal="right" vertical="center" wrapText="1"/>
    </xf>
    <xf numFmtId="0" fontId="10" fillId="0" borderId="23" xfId="0" applyFont="1" applyBorder="1"/>
    <xf numFmtId="173" fontId="10" fillId="0" borderId="10" xfId="4" applyNumberFormat="1" applyFont="1" applyFill="1" applyBorder="1" applyAlignment="1" applyProtection="1">
      <alignment horizontal="center" vertical="center"/>
    </xf>
    <xf numFmtId="173" fontId="10" fillId="0" borderId="23" xfId="4" applyNumberFormat="1" applyFont="1" applyFill="1" applyBorder="1" applyAlignment="1" applyProtection="1">
      <alignment horizontal="center" vertical="center"/>
    </xf>
    <xf numFmtId="173" fontId="6" fillId="0" borderId="10" xfId="4" applyNumberFormat="1" applyFont="1" applyFill="1" applyBorder="1" applyAlignment="1" applyProtection="1">
      <alignment horizontal="center" vertical="center"/>
    </xf>
    <xf numFmtId="173" fontId="6" fillId="0" borderId="23" xfId="4" applyNumberFormat="1" applyFont="1" applyFill="1" applyBorder="1" applyAlignment="1" applyProtection="1">
      <alignment horizontal="center" vertical="center"/>
    </xf>
    <xf numFmtId="170" fontId="8" fillId="0" borderId="10" xfId="4" applyNumberFormat="1" applyFont="1" applyFill="1" applyBorder="1"/>
    <xf numFmtId="165" fontId="8" fillId="0" borderId="10" xfId="4" applyFont="1" applyFill="1" applyBorder="1"/>
    <xf numFmtId="3" fontId="8" fillId="0" borderId="10" xfId="0" applyNumberFormat="1" applyFont="1" applyBorder="1" applyAlignment="1">
      <alignment horizontal="center"/>
    </xf>
    <xf numFmtId="174" fontId="6" fillId="0" borderId="10" xfId="4" applyNumberFormat="1" applyFont="1" applyFill="1" applyBorder="1" applyAlignment="1">
      <alignment horizontal="right"/>
    </xf>
    <xf numFmtId="49" fontId="8" fillId="0" borderId="22" xfId="0" applyNumberFormat="1" applyFont="1" applyBorder="1"/>
    <xf numFmtId="4" fontId="8" fillId="0" borderId="10" xfId="0" applyNumberFormat="1" applyFont="1" applyBorder="1" applyAlignment="1">
      <alignment horizontal="center"/>
    </xf>
    <xf numFmtId="175" fontId="8" fillId="0" borderId="10" xfId="4" applyNumberFormat="1" applyFont="1" applyFill="1" applyBorder="1" applyAlignment="1">
      <alignment horizontal="right"/>
    </xf>
    <xf numFmtId="168" fontId="8" fillId="0" borderId="10" xfId="0" applyNumberFormat="1" applyFont="1" applyBorder="1"/>
    <xf numFmtId="165" fontId="13" fillId="0" borderId="10" xfId="4" applyFont="1" applyFill="1" applyBorder="1"/>
    <xf numFmtId="165" fontId="13" fillId="0" borderId="23" xfId="4" applyFont="1" applyFill="1" applyBorder="1"/>
    <xf numFmtId="3" fontId="6" fillId="0" borderId="10" xfId="4" applyNumberFormat="1" applyFont="1" applyFill="1" applyBorder="1" applyAlignment="1">
      <alignment horizontal="right" vertical="center"/>
    </xf>
    <xf numFmtId="169" fontId="8" fillId="0" borderId="10" xfId="4" applyNumberFormat="1" applyFont="1" applyFill="1" applyBorder="1" applyAlignment="1">
      <alignment vertical="center"/>
    </xf>
    <xf numFmtId="175" fontId="13" fillId="0" borderId="23" xfId="4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170" fontId="8" fillId="0" borderId="23" xfId="4" applyNumberFormat="1" applyFont="1" applyFill="1" applyBorder="1"/>
    <xf numFmtId="49" fontId="8" fillId="0" borderId="22" xfId="0" applyNumberFormat="1" applyFont="1" applyBorder="1" applyAlignment="1">
      <alignment horizontal="left" indent="1"/>
    </xf>
    <xf numFmtId="3" fontId="8" fillId="0" borderId="10" xfId="4" applyNumberFormat="1" applyFont="1" applyFill="1" applyBorder="1" applyAlignment="1">
      <alignment horizontal="right" vertical="center"/>
    </xf>
    <xf numFmtId="169" fontId="8" fillId="0" borderId="10" xfId="6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/>
    </xf>
    <xf numFmtId="0" fontId="8" fillId="0" borderId="23" xfId="0" applyFont="1" applyBorder="1"/>
    <xf numFmtId="2" fontId="8" fillId="0" borderId="10" xfId="8" applyNumberFormat="1" applyFont="1" applyFill="1" applyBorder="1" applyAlignment="1">
      <alignment horizontal="right"/>
    </xf>
    <xf numFmtId="177" fontId="8" fillId="0" borderId="10" xfId="0" applyNumberFormat="1" applyFont="1" applyBorder="1"/>
    <xf numFmtId="49" fontId="8" fillId="0" borderId="22" xfId="0" quotePrefix="1" applyNumberFormat="1" applyFont="1" applyBorder="1" applyAlignment="1">
      <alignment horizontal="left" indent="6"/>
    </xf>
    <xf numFmtId="0" fontId="6" fillId="0" borderId="7" xfId="2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left" indent="5"/>
    </xf>
    <xf numFmtId="169" fontId="0" fillId="0" borderId="0" xfId="0" applyNumberFormat="1"/>
    <xf numFmtId="0" fontId="37" fillId="0" borderId="9" xfId="2" applyFont="1" applyBorder="1" applyAlignment="1">
      <alignment horizontal="center" vertical="center" wrapText="1"/>
    </xf>
    <xf numFmtId="3" fontId="8" fillId="0" borderId="0" xfId="0" applyNumberFormat="1" applyFont="1"/>
    <xf numFmtId="3" fontId="39" fillId="0" borderId="0" xfId="8" applyNumberFormat="1" applyFont="1" applyFill="1" applyBorder="1" applyAlignment="1"/>
    <xf numFmtId="3" fontId="10" fillId="0" borderId="0" xfId="8" applyNumberFormat="1" applyFont="1" applyFill="1" applyAlignment="1">
      <alignment horizontal="right"/>
    </xf>
    <xf numFmtId="2" fontId="8" fillId="0" borderId="23" xfId="0" applyNumberFormat="1" applyFont="1" applyBorder="1"/>
    <xf numFmtId="2" fontId="4" fillId="0" borderId="0" xfId="0" applyNumberFormat="1" applyFont="1"/>
    <xf numFmtId="3" fontId="6" fillId="0" borderId="0" xfId="8" applyNumberFormat="1" applyFont="1" applyFill="1" applyBorder="1" applyAlignment="1"/>
    <xf numFmtId="3" fontId="40" fillId="0" borderId="10" xfId="0" applyNumberFormat="1" applyFont="1" applyBorder="1" applyAlignment="1">
      <alignment vertical="center" wrapText="1"/>
    </xf>
    <xf numFmtId="3" fontId="38" fillId="0" borderId="10" xfId="0" applyNumberFormat="1" applyFont="1" applyBorder="1"/>
    <xf numFmtId="2" fontId="8" fillId="0" borderId="10" xfId="0" applyNumberFormat="1" applyFont="1" applyBorder="1" applyAlignment="1">
      <alignment horizontal="right"/>
    </xf>
    <xf numFmtId="169" fontId="10" fillId="0" borderId="0" xfId="8" applyNumberFormat="1" applyFont="1" applyFill="1" applyAlignment="1"/>
    <xf numFmtId="3" fontId="8" fillId="0" borderId="24" xfId="0" applyNumberFormat="1" applyFont="1" applyBorder="1" applyAlignment="1">
      <alignment horizontal="right" vertical="top" shrinkToFit="1"/>
    </xf>
    <xf numFmtId="169" fontId="8" fillId="0" borderId="10" xfId="4" applyNumberFormat="1" applyFont="1" applyFill="1" applyBorder="1" applyAlignment="1"/>
    <xf numFmtId="3" fontId="10" fillId="0" borderId="24" xfId="0" applyNumberFormat="1" applyFont="1" applyBorder="1" applyAlignment="1">
      <alignment horizontal="right" vertical="top" shrinkToFit="1"/>
    </xf>
    <xf numFmtId="0" fontId="38" fillId="0" borderId="10" xfId="0" applyFont="1" applyBorder="1" applyAlignment="1">
      <alignment horizontal="right"/>
    </xf>
    <xf numFmtId="0" fontId="38" fillId="0" borderId="23" xfId="0" applyFont="1" applyBorder="1"/>
    <xf numFmtId="179" fontId="38" fillId="0" borderId="10" xfId="5" applyNumberFormat="1" applyFont="1" applyFill="1" applyBorder="1" applyAlignment="1">
      <alignment horizontal="right" vertical="center"/>
    </xf>
    <xf numFmtId="178" fontId="38" fillId="0" borderId="10" xfId="0" applyNumberFormat="1" applyFont="1" applyBorder="1" applyAlignment="1">
      <alignment horizontal="right"/>
    </xf>
    <xf numFmtId="3" fontId="38" fillId="0" borderId="10" xfId="1" applyNumberFormat="1" applyFont="1" applyFill="1" applyBorder="1" applyAlignment="1">
      <alignment vertical="center" shrinkToFit="1" readingOrder="1"/>
    </xf>
    <xf numFmtId="3" fontId="38" fillId="0" borderId="10" xfId="0" applyNumberFormat="1" applyFont="1" applyBorder="1" applyAlignment="1">
      <alignment vertical="center" shrinkToFit="1" readingOrder="1"/>
    </xf>
    <xf numFmtId="4" fontId="38" fillId="0" borderId="10" xfId="7" applyNumberFormat="1" applyFont="1" applyBorder="1" applyAlignment="1">
      <alignment vertical="top" wrapText="1"/>
    </xf>
    <xf numFmtId="174" fontId="38" fillId="0" borderId="10" xfId="4" applyNumberFormat="1" applyFont="1" applyFill="1" applyBorder="1" applyAlignment="1">
      <alignment horizontal="right"/>
    </xf>
    <xf numFmtId="174" fontId="38" fillId="0" borderId="10" xfId="4" applyNumberFormat="1" applyFont="1" applyFill="1" applyBorder="1" applyAlignment="1">
      <alignment horizontal="right" vertical="center"/>
    </xf>
    <xf numFmtId="174" fontId="38" fillId="0" borderId="11" xfId="4" applyNumberFormat="1" applyFont="1" applyFill="1" applyBorder="1" applyAlignment="1">
      <alignment horizontal="right" vertical="center"/>
    </xf>
    <xf numFmtId="0" fontId="38" fillId="0" borderId="11" xfId="0" applyFont="1" applyBorder="1" applyAlignment="1">
      <alignment horizontal="right"/>
    </xf>
    <xf numFmtId="0" fontId="38" fillId="0" borderId="15" xfId="0" applyFont="1" applyBorder="1"/>
    <xf numFmtId="2" fontId="8" fillId="0" borderId="10" xfId="27" applyNumberFormat="1" applyFont="1" applyFill="1" applyBorder="1" applyAlignment="1">
      <alignment horizontal="right"/>
    </xf>
    <xf numFmtId="169" fontId="6" fillId="0" borderId="0" xfId="8" applyNumberFormat="1" applyFont="1" applyFill="1" applyAlignment="1">
      <alignment horizontal="right"/>
    </xf>
    <xf numFmtId="169" fontId="41" fillId="0" borderId="25" xfId="4" applyNumberFormat="1" applyFont="1" applyFill="1" applyBorder="1" applyAlignment="1">
      <alignment vertical="center"/>
    </xf>
    <xf numFmtId="169" fontId="37" fillId="0" borderId="25" xfId="4" applyNumberFormat="1" applyFont="1" applyFill="1" applyBorder="1" applyAlignment="1">
      <alignment vertical="center"/>
    </xf>
    <xf numFmtId="49" fontId="40" fillId="0" borderId="22" xfId="0" applyNumberFormat="1" applyFont="1" applyBorder="1"/>
    <xf numFmtId="0" fontId="40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49" fontId="38" fillId="0" borderId="22" xfId="0" applyNumberFormat="1" applyFont="1" applyBorder="1"/>
    <xf numFmtId="3" fontId="40" fillId="0" borderId="10" xfId="9" applyNumberFormat="1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0" fontId="8" fillId="0" borderId="10" xfId="9" applyFont="1" applyBorder="1"/>
    <xf numFmtId="2" fontId="8" fillId="0" borderId="10" xfId="27" applyNumberFormat="1" applyFont="1" applyFill="1" applyBorder="1" applyAlignment="1">
      <alignment horizontal="right" vertical="center"/>
    </xf>
    <xf numFmtId="2" fontId="8" fillId="0" borderId="10" xfId="8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177" fontId="8" fillId="0" borderId="10" xfId="5" applyNumberFormat="1" applyFont="1" applyFill="1" applyBorder="1" applyAlignment="1">
      <alignment horizontal="right" vertical="center"/>
    </xf>
    <xf numFmtId="178" fontId="8" fillId="0" borderId="23" xfId="0" applyNumberFormat="1" applyFont="1" applyBorder="1"/>
    <xf numFmtId="177" fontId="8" fillId="0" borderId="10" xfId="4" applyNumberFormat="1" applyFont="1" applyFill="1" applyBorder="1" applyAlignment="1">
      <alignment horizontal="right" vertical="center"/>
    </xf>
    <xf numFmtId="4" fontId="8" fillId="0" borderId="10" xfId="8" applyNumberFormat="1" applyFont="1" applyFill="1" applyBorder="1" applyAlignment="1">
      <alignment horizontal="right"/>
    </xf>
    <xf numFmtId="175" fontId="8" fillId="0" borderId="10" xfId="5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8" fontId="8" fillId="0" borderId="0" xfId="5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51" fillId="0" borderId="0" xfId="0" applyFont="1" applyAlignment="1">
      <alignment horizontal="right"/>
    </xf>
    <xf numFmtId="0" fontId="51" fillId="0" borderId="0" xfId="0" applyFont="1"/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1" fillId="0" borderId="26" xfId="0" applyFont="1" applyBorder="1" applyAlignment="1">
      <alignment horizontal="right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93" fontId="2" fillId="0" borderId="26" xfId="0" applyNumberFormat="1" applyFont="1" applyBorder="1" applyAlignment="1">
      <alignment horizontal="center" vertical="center"/>
    </xf>
    <xf numFmtId="168" fontId="2" fillId="0" borderId="26" xfId="5" applyNumberFormat="1" applyFont="1" applyFill="1" applyBorder="1" applyAlignment="1">
      <alignment horizontal="center" vertical="center"/>
    </xf>
    <xf numFmtId="0" fontId="51" fillId="4" borderId="0" xfId="0" applyFont="1" applyFill="1"/>
    <xf numFmtId="0" fontId="2" fillId="5" borderId="26" xfId="0" applyFont="1" applyFill="1" applyBorder="1" applyAlignment="1">
      <alignment horizontal="right"/>
    </xf>
    <xf numFmtId="49" fontId="3" fillId="5" borderId="26" xfId="0" applyNumberFormat="1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center" vertical="center" wrapText="1"/>
    </xf>
    <xf numFmtId="193" fontId="2" fillId="5" borderId="26" xfId="0" applyNumberFormat="1" applyFont="1" applyFill="1" applyBorder="1" applyAlignment="1">
      <alignment horizontal="center" vertical="center" wrapText="1"/>
    </xf>
    <xf numFmtId="168" fontId="2" fillId="5" borderId="26" xfId="5" applyNumberFormat="1" applyFont="1" applyFill="1" applyBorder="1" applyAlignment="1">
      <alignment horizontal="center" vertical="center" wrapText="1"/>
    </xf>
    <xf numFmtId="0" fontId="2" fillId="0" borderId="0" xfId="0" applyFont="1"/>
    <xf numFmtId="3" fontId="52" fillId="0" borderId="26" xfId="0" applyNumberFormat="1" applyFont="1" applyBorder="1" applyAlignment="1">
      <alignment horizontal="right"/>
    </xf>
    <xf numFmtId="49" fontId="52" fillId="0" borderId="26" xfId="0" applyNumberFormat="1" applyFont="1" applyBorder="1"/>
    <xf numFmtId="0" fontId="52" fillId="0" borderId="26" xfId="0" applyFont="1" applyBorder="1" applyAlignment="1">
      <alignment horizontal="center"/>
    </xf>
    <xf numFmtId="170" fontId="51" fillId="0" borderId="26" xfId="5" applyNumberFormat="1" applyFont="1" applyFill="1" applyBorder="1"/>
    <xf numFmtId="193" fontId="51" fillId="0" borderId="26" xfId="5" applyNumberFormat="1" applyFont="1" applyFill="1" applyBorder="1"/>
    <xf numFmtId="168" fontId="51" fillId="0" borderId="26" xfId="5" applyNumberFormat="1" applyFont="1" applyFill="1" applyBorder="1"/>
    <xf numFmtId="0" fontId="52" fillId="0" borderId="26" xfId="0" quotePrefix="1" applyFont="1" applyBorder="1" applyAlignment="1">
      <alignment vertical="center"/>
    </xf>
    <xf numFmtId="168" fontId="51" fillId="0" borderId="0" xfId="0" applyNumberFormat="1" applyFont="1"/>
    <xf numFmtId="49" fontId="52" fillId="0" borderId="26" xfId="0" applyNumberFormat="1" applyFont="1" applyBorder="1" applyAlignment="1">
      <alignment horizontal="left"/>
    </xf>
    <xf numFmtId="3" fontId="3" fillId="5" borderId="26" xfId="0" applyNumberFormat="1" applyFont="1" applyFill="1" applyBorder="1" applyAlignment="1">
      <alignment horizontal="right"/>
    </xf>
    <xf numFmtId="49" fontId="3" fillId="5" borderId="26" xfId="0" applyNumberFormat="1" applyFont="1" applyFill="1" applyBorder="1"/>
    <xf numFmtId="0" fontId="3" fillId="5" borderId="26" xfId="0" applyFont="1" applyFill="1" applyBorder="1" applyAlignment="1">
      <alignment horizontal="center"/>
    </xf>
    <xf numFmtId="170" fontId="2" fillId="5" borderId="26" xfId="5" applyNumberFormat="1" applyFont="1" applyFill="1" applyBorder="1"/>
    <xf numFmtId="193" fontId="2" fillId="5" borderId="26" xfId="5" applyNumberFormat="1" applyFont="1" applyFill="1" applyBorder="1"/>
    <xf numFmtId="168" fontId="2" fillId="5" borderId="26" xfId="5" applyNumberFormat="1" applyFont="1" applyFill="1" applyBorder="1"/>
    <xf numFmtId="0" fontId="2" fillId="5" borderId="26" xfId="0" applyFont="1" applyFill="1" applyBorder="1"/>
    <xf numFmtId="0" fontId="52" fillId="5" borderId="26" xfId="0" quotePrefix="1" applyFont="1" applyFill="1" applyBorder="1" applyAlignment="1">
      <alignment vertical="center"/>
    </xf>
    <xf numFmtId="168" fontId="52" fillId="0" borderId="26" xfId="5" applyNumberFormat="1" applyFont="1" applyFill="1" applyBorder="1" applyAlignment="1">
      <alignment horizontal="right"/>
    </xf>
    <xf numFmtId="0" fontId="51" fillId="0" borderId="26" xfId="0" applyFont="1" applyBorder="1"/>
    <xf numFmtId="0" fontId="51" fillId="3" borderId="0" xfId="0" applyFont="1" applyFill="1"/>
    <xf numFmtId="0" fontId="3" fillId="5" borderId="26" xfId="0" applyFont="1" applyFill="1" applyBorder="1" applyAlignment="1">
      <alignment vertical="center"/>
    </xf>
    <xf numFmtId="49" fontId="54" fillId="0" borderId="26" xfId="0" applyNumberFormat="1" applyFont="1" applyBorder="1"/>
    <xf numFmtId="168" fontId="51" fillId="0" borderId="26" xfId="0" applyNumberFormat="1" applyFont="1" applyBorder="1"/>
    <xf numFmtId="49" fontId="52" fillId="0" borderId="26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/>
    </xf>
    <xf numFmtId="170" fontId="2" fillId="0" borderId="26" xfId="5" applyNumberFormat="1" applyFont="1" applyFill="1" applyBorder="1"/>
    <xf numFmtId="193" fontId="2" fillId="0" borderId="26" xfId="5" applyNumberFormat="1" applyFont="1" applyFill="1" applyBorder="1"/>
    <xf numFmtId="168" fontId="2" fillId="0" borderId="26" xfId="5" applyNumberFormat="1" applyFont="1" applyFill="1" applyBorder="1"/>
    <xf numFmtId="168" fontId="51" fillId="0" borderId="26" xfId="5" applyNumberFormat="1" applyFont="1" applyFill="1" applyBorder="1" applyAlignment="1">
      <alignment horizontal="right"/>
    </xf>
    <xf numFmtId="168" fontId="52" fillId="0" borderId="26" xfId="5" applyNumberFormat="1" applyFont="1" applyFill="1" applyBorder="1" applyAlignment="1">
      <alignment horizontal="center"/>
    </xf>
    <xf numFmtId="0" fontId="52" fillId="0" borderId="26" xfId="0" applyFont="1" applyBorder="1"/>
    <xf numFmtId="168" fontId="55" fillId="3" borderId="26" xfId="5" applyNumberFormat="1" applyFont="1" applyFill="1" applyBorder="1" applyAlignment="1">
      <alignment horizontal="center"/>
    </xf>
    <xf numFmtId="168" fontId="51" fillId="3" borderId="26" xfId="5" applyNumberFormat="1" applyFont="1" applyFill="1" applyBorder="1"/>
    <xf numFmtId="49" fontId="51" fillId="0" borderId="26" xfId="0" applyNumberFormat="1" applyFont="1" applyBorder="1"/>
    <xf numFmtId="0" fontId="2" fillId="0" borderId="26" xfId="0" applyFont="1" applyBorder="1"/>
    <xf numFmtId="168" fontId="2" fillId="0" borderId="26" xfId="0" applyNumberFormat="1" applyFont="1" applyBorder="1"/>
    <xf numFmtId="49" fontId="44" fillId="0" borderId="26" xfId="0" applyNumberFormat="1" applyFont="1" applyBorder="1"/>
    <xf numFmtId="49" fontId="56" fillId="0" borderId="26" xfId="0" applyNumberFormat="1" applyFont="1" applyBorder="1"/>
    <xf numFmtId="168" fontId="56" fillId="0" borderId="26" xfId="5" applyNumberFormat="1" applyFont="1" applyFill="1" applyBorder="1"/>
    <xf numFmtId="49" fontId="51" fillId="0" borderId="0" xfId="0" applyNumberFormat="1" applyFont="1"/>
    <xf numFmtId="2" fontId="51" fillId="0" borderId="0" xfId="0" applyNumberFormat="1" applyFont="1"/>
    <xf numFmtId="194" fontId="51" fillId="0" borderId="0" xfId="0" applyNumberFormat="1" applyFont="1"/>
    <xf numFmtId="195" fontId="51" fillId="0" borderId="0" xfId="0" applyNumberFormat="1" applyFont="1"/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97" fontId="47" fillId="0" borderId="0" xfId="0" applyNumberFormat="1" applyFont="1" applyAlignment="1">
      <alignment vertical="center"/>
    </xf>
    <xf numFmtId="198" fontId="8" fillId="0" borderId="0" xfId="8" applyNumberFormat="1" applyFont="1" applyFill="1" applyAlignment="1"/>
    <xf numFmtId="192" fontId="8" fillId="0" borderId="0" xfId="0" applyNumberFormat="1" applyFont="1" applyAlignment="1">
      <alignment vertical="center"/>
    </xf>
    <xf numFmtId="0" fontId="8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168" fontId="10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68" fontId="6" fillId="0" borderId="0" xfId="0" applyNumberFormat="1" applyFont="1" applyAlignment="1">
      <alignment vertical="center" wrapText="1"/>
    </xf>
    <xf numFmtId="168" fontId="8" fillId="0" borderId="0" xfId="0" applyNumberFormat="1" applyFont="1" applyAlignment="1">
      <alignment vertical="center"/>
    </xf>
    <xf numFmtId="168" fontId="13" fillId="0" borderId="0" xfId="5" applyNumberFormat="1" applyFont="1" applyFill="1" applyBorder="1" applyAlignment="1">
      <alignment horizontal="center" vertical="center" wrapText="1"/>
    </xf>
    <xf numFmtId="170" fontId="8" fillId="0" borderId="0" xfId="4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68" fontId="8" fillId="0" borderId="0" xfId="4" applyNumberFormat="1" applyFont="1" applyFill="1" applyBorder="1" applyAlignment="1">
      <alignment vertical="center"/>
    </xf>
    <xf numFmtId="4" fontId="8" fillId="0" borderId="0" xfId="0" applyNumberFormat="1" applyFont="1" applyAlignment="1">
      <alignment horizontal="right" vertical="center"/>
    </xf>
    <xf numFmtId="168" fontId="8" fillId="0" borderId="0" xfId="5" applyNumberFormat="1" applyFont="1" applyFill="1" applyBorder="1" applyAlignment="1">
      <alignment horizontal="right" vertical="center"/>
    </xf>
    <xf numFmtId="170" fontId="8" fillId="0" borderId="0" xfId="5" applyNumberFormat="1" applyFont="1" applyFill="1" applyBorder="1" applyAlignment="1">
      <alignment vertical="center" wrapText="1"/>
    </xf>
    <xf numFmtId="170" fontId="8" fillId="0" borderId="0" xfId="5" applyNumberFormat="1" applyFont="1" applyFill="1" applyBorder="1" applyAlignment="1">
      <alignment wrapText="1"/>
    </xf>
    <xf numFmtId="170" fontId="8" fillId="0" borderId="0" xfId="5" applyNumberFormat="1" applyFont="1" applyFill="1" applyBorder="1" applyAlignment="1">
      <alignment vertical="center"/>
    </xf>
    <xf numFmtId="169" fontId="6" fillId="0" borderId="0" xfId="5" applyNumberFormat="1" applyFont="1" applyFill="1" applyBorder="1" applyAlignment="1">
      <alignment vertical="center"/>
    </xf>
    <xf numFmtId="168" fontId="6" fillId="0" borderId="0" xfId="5" applyNumberFormat="1" applyFont="1" applyFill="1" applyBorder="1" applyAlignment="1">
      <alignment vertical="center"/>
    </xf>
    <xf numFmtId="168" fontId="6" fillId="0" borderId="0" xfId="0" applyNumberFormat="1" applyFont="1" applyAlignment="1">
      <alignment vertical="center"/>
    </xf>
    <xf numFmtId="168" fontId="47" fillId="0" borderId="0" xfId="0" applyNumberFormat="1" applyFont="1" applyAlignment="1">
      <alignment wrapText="1"/>
    </xf>
    <xf numFmtId="168" fontId="48" fillId="0" borderId="0" xfId="5" applyNumberFormat="1" applyFont="1" applyFill="1" applyBorder="1" applyAlignment="1">
      <alignment vertical="center"/>
    </xf>
    <xf numFmtId="170" fontId="6" fillId="0" borderId="0" xfId="5" applyNumberFormat="1" applyFont="1" applyFill="1" applyBorder="1" applyAlignment="1">
      <alignment vertical="center"/>
    </xf>
    <xf numFmtId="168" fontId="8" fillId="3" borderId="0" xfId="0" applyNumberFormat="1" applyFont="1" applyFill="1" applyAlignment="1">
      <alignment vertical="center"/>
    </xf>
    <xf numFmtId="170" fontId="8" fillId="0" borderId="0" xfId="0" applyNumberFormat="1" applyFont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/>
    </xf>
    <xf numFmtId="170" fontId="10" fillId="0" borderId="0" xfId="0" applyNumberFormat="1" applyFont="1" applyAlignment="1">
      <alignment horizontal="center" vertical="center" wrapText="1"/>
    </xf>
    <xf numFmtId="170" fontId="49" fillId="0" borderId="0" xfId="0" applyNumberFormat="1" applyFont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168" fontId="48" fillId="0" borderId="0" xfId="5" applyNumberFormat="1" applyFont="1" applyFill="1" applyBorder="1" applyAlignment="1">
      <alignment horizontal="center" vertical="center"/>
    </xf>
    <xf numFmtId="168" fontId="47" fillId="0" borderId="0" xfId="5" applyNumberFormat="1" applyFont="1" applyFill="1" applyBorder="1" applyAlignment="1">
      <alignment horizontal="center" vertical="center"/>
    </xf>
    <xf numFmtId="198" fontId="6" fillId="0" borderId="0" xfId="0" applyNumberFormat="1" applyFont="1" applyAlignment="1">
      <alignment vertical="center" wrapText="1"/>
    </xf>
    <xf numFmtId="168" fontId="6" fillId="6" borderId="0" xfId="0" applyNumberFormat="1" applyFont="1" applyFill="1" applyAlignment="1">
      <alignment vertical="center" wrapText="1"/>
    </xf>
    <xf numFmtId="1" fontId="8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198" fontId="10" fillId="0" borderId="0" xfId="0" applyNumberFormat="1" applyFont="1" applyAlignment="1">
      <alignment vertical="center"/>
    </xf>
    <xf numFmtId="168" fontId="13" fillId="3" borderId="0" xfId="0" applyNumberFormat="1" applyFont="1" applyFill="1" applyAlignment="1">
      <alignment vertical="center"/>
    </xf>
    <xf numFmtId="198" fontId="6" fillId="3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vertical="center"/>
    </xf>
    <xf numFmtId="198" fontId="46" fillId="0" borderId="0" xfId="0" applyNumberFormat="1" applyFont="1" applyAlignment="1">
      <alignment horizontal="center" vertical="center" wrapText="1"/>
    </xf>
    <xf numFmtId="168" fontId="13" fillId="6" borderId="0" xfId="5" applyNumberFormat="1" applyFont="1" applyFill="1" applyBorder="1" applyAlignment="1">
      <alignment horizontal="center" vertical="center" wrapText="1"/>
    </xf>
    <xf numFmtId="168" fontId="13" fillId="0" borderId="0" xfId="4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170" fontId="13" fillId="0" borderId="0" xfId="5" applyNumberFormat="1" applyFont="1" applyFill="1" applyBorder="1" applyAlignment="1">
      <alignment horizontal="center" vertical="center" wrapText="1"/>
    </xf>
    <xf numFmtId="168" fontId="13" fillId="0" borderId="0" xfId="5" applyNumberFormat="1" applyFont="1" applyFill="1" applyBorder="1" applyAlignment="1">
      <alignment vertical="center"/>
    </xf>
    <xf numFmtId="168" fontId="10" fillId="0" borderId="0" xfId="5" applyNumberFormat="1" applyFont="1" applyFill="1" applyBorder="1" applyAlignment="1">
      <alignment vertical="center"/>
    </xf>
    <xf numFmtId="3" fontId="8" fillId="0" borderId="0" xfId="5" applyNumberFormat="1" applyFont="1" applyFill="1" applyBorder="1" applyAlignment="1" applyProtection="1">
      <alignment vertical="center"/>
      <protection locked="0"/>
    </xf>
    <xf numFmtId="168" fontId="8" fillId="0" borderId="0" xfId="0" applyNumberFormat="1" applyFont="1" applyAlignment="1">
      <alignment vertical="center" wrapText="1"/>
    </xf>
    <xf numFmtId="3" fontId="8" fillId="0" borderId="0" xfId="5" applyNumberFormat="1" applyFont="1" applyFill="1" applyBorder="1" applyAlignment="1" applyProtection="1">
      <alignment vertical="center"/>
    </xf>
    <xf numFmtId="191" fontId="8" fillId="0" borderId="0" xfId="0" applyNumberFormat="1" applyFont="1" applyAlignment="1">
      <alignment horizontal="center" vertical="center" wrapText="1"/>
    </xf>
    <xf numFmtId="198" fontId="48" fillId="0" borderId="0" xfId="8" applyNumberFormat="1" applyFont="1" applyFill="1" applyAlignment="1">
      <alignment vertical="center"/>
    </xf>
    <xf numFmtId="166" fontId="47" fillId="0" borderId="0" xfId="8" applyFont="1" applyFill="1" applyAlignment="1">
      <alignment vertical="center"/>
    </xf>
    <xf numFmtId="165" fontId="47" fillId="0" borderId="0" xfId="0" applyNumberFormat="1" applyFont="1" applyAlignment="1">
      <alignment vertical="center"/>
    </xf>
    <xf numFmtId="198" fontId="47" fillId="0" borderId="0" xfId="8" applyNumberFormat="1" applyFont="1" applyFill="1" applyAlignment="1">
      <alignment vertical="center"/>
    </xf>
    <xf numFmtId="170" fontId="6" fillId="0" borderId="0" xfId="4" applyNumberFormat="1" applyFont="1" applyFill="1" applyBorder="1" applyAlignment="1">
      <alignment vertical="center"/>
    </xf>
    <xf numFmtId="0" fontId="45" fillId="0" borderId="34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left" vertical="center" wrapText="1"/>
    </xf>
    <xf numFmtId="49" fontId="10" fillId="0" borderId="34" xfId="0" applyNumberFormat="1" applyFont="1" applyBorder="1" applyAlignment="1">
      <alignment horizontal="left"/>
    </xf>
    <xf numFmtId="0" fontId="6" fillId="0" borderId="34" xfId="0" applyFont="1" applyBorder="1" applyAlignment="1">
      <alignment vertical="center" wrapText="1"/>
    </xf>
    <xf numFmtId="198" fontId="8" fillId="0" borderId="34" xfId="8" applyNumberFormat="1" applyFont="1" applyFill="1" applyBorder="1" applyAlignment="1"/>
    <xf numFmtId="49" fontId="10" fillId="0" borderId="34" xfId="0" applyNumberFormat="1" applyFont="1" applyBorder="1" applyAlignment="1">
      <alignment horizontal="left" vertical="center"/>
    </xf>
    <xf numFmtId="198" fontId="45" fillId="0" borderId="34" xfId="0" applyNumberFormat="1" applyFont="1" applyBorder="1" applyAlignment="1">
      <alignment horizontal="center" vertical="center" wrapText="1"/>
    </xf>
    <xf numFmtId="168" fontId="6" fillId="0" borderId="34" xfId="0" applyNumberFormat="1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vertical="center" wrapText="1"/>
    </xf>
    <xf numFmtId="0" fontId="13" fillId="0" borderId="34" xfId="0" applyFont="1" applyBorder="1" applyAlignment="1">
      <alignment horizontal="center" vertical="center" wrapText="1"/>
    </xf>
    <xf numFmtId="168" fontId="13" fillId="0" borderId="34" xfId="5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vertical="center" wrapText="1"/>
    </xf>
    <xf numFmtId="170" fontId="8" fillId="0" borderId="34" xfId="4" applyNumberFormat="1" applyFont="1" applyFill="1" applyBorder="1" applyAlignment="1">
      <alignment vertical="center"/>
    </xf>
    <xf numFmtId="49" fontId="8" fillId="0" borderId="34" xfId="0" applyNumberFormat="1" applyFont="1" applyBorder="1" applyAlignment="1">
      <alignment horizontal="left" vertical="center" wrapText="1" indent="3"/>
    </xf>
    <xf numFmtId="4" fontId="8" fillId="0" borderId="34" xfId="0" applyNumberFormat="1" applyFont="1" applyBorder="1" applyAlignment="1">
      <alignment horizontal="right" vertical="center"/>
    </xf>
    <xf numFmtId="168" fontId="13" fillId="0" borderId="34" xfId="4" applyNumberFormat="1" applyFont="1" applyFill="1" applyBorder="1" applyAlignment="1">
      <alignment vertical="center"/>
    </xf>
    <xf numFmtId="3" fontId="8" fillId="0" borderId="34" xfId="0" applyNumberFormat="1" applyFont="1" applyBorder="1" applyAlignment="1">
      <alignment horizontal="right" vertical="center"/>
    </xf>
    <xf numFmtId="49" fontId="8" fillId="0" borderId="34" xfId="0" applyNumberFormat="1" applyFont="1" applyBorder="1" applyAlignment="1">
      <alignment horizontal="left" vertical="center" wrapText="1" indent="5"/>
    </xf>
    <xf numFmtId="168" fontId="8" fillId="0" borderId="34" xfId="4" applyNumberFormat="1" applyFont="1" applyFill="1" applyBorder="1" applyAlignment="1">
      <alignment vertical="center"/>
    </xf>
    <xf numFmtId="170" fontId="8" fillId="0" borderId="34" xfId="4" applyNumberFormat="1" applyFont="1" applyFill="1" applyBorder="1" applyAlignment="1">
      <alignment horizontal="right" vertical="center" wrapText="1"/>
    </xf>
    <xf numFmtId="0" fontId="8" fillId="0" borderId="34" xfId="0" applyFont="1" applyBorder="1" applyAlignment="1">
      <alignment horizontal="right" vertical="center"/>
    </xf>
    <xf numFmtId="170" fontId="8" fillId="0" borderId="34" xfId="4" applyNumberFormat="1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left" vertical="center" wrapText="1" indent="2"/>
    </xf>
    <xf numFmtId="0" fontId="8" fillId="0" borderId="34" xfId="0" applyFont="1" applyBorder="1" applyAlignment="1">
      <alignment vertical="center"/>
    </xf>
    <xf numFmtId="49" fontId="8" fillId="0" borderId="34" xfId="0" applyNumberFormat="1" applyFont="1" applyBorder="1" applyAlignment="1">
      <alignment horizontal="left" vertical="center" wrapText="1" indent="4"/>
    </xf>
    <xf numFmtId="170" fontId="8" fillId="0" borderId="34" xfId="4" applyNumberFormat="1" applyFont="1" applyFill="1" applyBorder="1" applyAlignment="1">
      <alignment horizontal="right" vertical="center"/>
    </xf>
    <xf numFmtId="170" fontId="13" fillId="0" borderId="34" xfId="4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vertical="center" wrapText="1"/>
    </xf>
    <xf numFmtId="168" fontId="10" fillId="0" borderId="34" xfId="5" applyNumberFormat="1" applyFont="1" applyFill="1" applyBorder="1" applyAlignment="1">
      <alignment vertical="center"/>
    </xf>
    <xf numFmtId="168" fontId="8" fillId="0" borderId="34" xfId="5" applyNumberFormat="1" applyFont="1" applyFill="1" applyBorder="1" applyAlignment="1">
      <alignment horizontal="right" vertical="center"/>
    </xf>
    <xf numFmtId="170" fontId="8" fillId="0" borderId="34" xfId="5" applyNumberFormat="1" applyFont="1" applyFill="1" applyBorder="1" applyAlignment="1">
      <alignment vertical="center" wrapText="1"/>
    </xf>
    <xf numFmtId="170" fontId="8" fillId="0" borderId="34" xfId="5" applyNumberFormat="1" applyFont="1" applyFill="1" applyBorder="1" applyAlignment="1">
      <alignment wrapText="1"/>
    </xf>
    <xf numFmtId="170" fontId="8" fillId="0" borderId="34" xfId="4" applyNumberFormat="1" applyFont="1" applyFill="1" applyBorder="1" applyAlignment="1">
      <alignment wrapText="1"/>
    </xf>
    <xf numFmtId="170" fontId="8" fillId="0" borderId="34" xfId="5" applyNumberFormat="1" applyFont="1" applyFill="1" applyBorder="1" applyAlignment="1">
      <alignment vertical="center"/>
    </xf>
    <xf numFmtId="169" fontId="6" fillId="0" borderId="34" xfId="5" applyNumberFormat="1" applyFont="1" applyFill="1" applyBorder="1" applyAlignment="1">
      <alignment vertical="center"/>
    </xf>
    <xf numFmtId="168" fontId="6" fillId="0" borderId="34" xfId="5" applyNumberFormat="1" applyFont="1" applyFill="1" applyBorder="1" applyAlignment="1">
      <alignment vertical="center"/>
    </xf>
    <xf numFmtId="168" fontId="8" fillId="0" borderId="34" xfId="5" applyNumberFormat="1" applyFont="1" applyFill="1" applyBorder="1" applyAlignment="1">
      <alignment vertical="center"/>
    </xf>
    <xf numFmtId="3" fontId="8" fillId="0" borderId="34" xfId="5" applyNumberFormat="1" applyFont="1" applyFill="1" applyBorder="1" applyAlignment="1" applyProtection="1">
      <alignment vertical="center"/>
      <protection locked="0"/>
    </xf>
    <xf numFmtId="168" fontId="8" fillId="0" borderId="34" xfId="0" applyNumberFormat="1" applyFont="1" applyBorder="1" applyAlignment="1">
      <alignment vertical="center" wrapText="1"/>
    </xf>
    <xf numFmtId="3" fontId="8" fillId="0" borderId="34" xfId="5" applyNumberFormat="1" applyFont="1" applyFill="1" applyBorder="1" applyAlignment="1" applyProtection="1">
      <alignment vertical="center"/>
    </xf>
    <xf numFmtId="170" fontId="6" fillId="0" borderId="34" xfId="5" applyNumberFormat="1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165" fontId="6" fillId="0" borderId="34" xfId="0" applyNumberFormat="1" applyFont="1" applyBorder="1" applyAlignment="1">
      <alignment vertical="center"/>
    </xf>
    <xf numFmtId="168" fontId="6" fillId="0" borderId="34" xfId="0" applyNumberFormat="1" applyFont="1" applyBorder="1" applyAlignment="1">
      <alignment vertical="center"/>
    </xf>
    <xf numFmtId="168" fontId="8" fillId="0" borderId="34" xfId="0" applyNumberFormat="1" applyFont="1" applyBorder="1" applyAlignment="1">
      <alignment vertical="center"/>
    </xf>
    <xf numFmtId="170" fontId="6" fillId="0" borderId="34" xfId="0" applyNumberFormat="1" applyFont="1" applyBorder="1" applyAlignment="1">
      <alignment horizontal="center" vertical="center" wrapText="1"/>
    </xf>
    <xf numFmtId="170" fontId="8" fillId="0" borderId="34" xfId="0" applyNumberFormat="1" applyFont="1" applyBorder="1" applyAlignment="1">
      <alignment horizontal="center" vertical="center" wrapText="1"/>
    </xf>
    <xf numFmtId="170" fontId="8" fillId="0" borderId="34" xfId="5" applyNumberFormat="1" applyFont="1" applyFill="1" applyBorder="1" applyAlignment="1">
      <alignment horizontal="center" vertical="center"/>
    </xf>
    <xf numFmtId="170" fontId="8" fillId="0" borderId="34" xfId="0" applyNumberFormat="1" applyFont="1" applyBorder="1" applyAlignment="1">
      <alignment horizontal="center" vertical="center"/>
    </xf>
    <xf numFmtId="170" fontId="10" fillId="0" borderId="34" xfId="0" applyNumberFormat="1" applyFont="1" applyBorder="1" applyAlignment="1">
      <alignment horizontal="center" vertical="center" wrapText="1"/>
    </xf>
    <xf numFmtId="168" fontId="6" fillId="0" borderId="34" xfId="0" applyNumberFormat="1" applyFont="1" applyBorder="1" applyAlignment="1">
      <alignment horizontal="center" vertical="center" wrapText="1"/>
    </xf>
    <xf numFmtId="168" fontId="8" fillId="0" borderId="34" xfId="5" applyNumberFormat="1" applyFont="1" applyFill="1" applyBorder="1" applyAlignment="1">
      <alignment horizontal="center" wrapText="1"/>
    </xf>
    <xf numFmtId="170" fontId="8" fillId="0" borderId="34" xfId="5" applyNumberFormat="1" applyFont="1" applyFill="1" applyBorder="1" applyAlignment="1">
      <alignment horizontal="center" wrapText="1"/>
    </xf>
    <xf numFmtId="165" fontId="8" fillId="0" borderId="34" xfId="5" applyFont="1" applyFill="1" applyBorder="1" applyAlignment="1">
      <alignment horizontal="center" vertical="center"/>
    </xf>
    <xf numFmtId="170" fontId="6" fillId="0" borderId="34" xfId="5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left" vertical="center" wrapText="1" indent="1"/>
    </xf>
    <xf numFmtId="0" fontId="8" fillId="0" borderId="35" xfId="0" applyFont="1" applyBorder="1" applyAlignment="1">
      <alignment vertical="center"/>
    </xf>
    <xf numFmtId="168" fontId="8" fillId="0" borderId="34" xfId="0" applyNumberFormat="1" applyFont="1" applyBorder="1" applyAlignment="1">
      <alignment wrapText="1"/>
    </xf>
    <xf numFmtId="168" fontId="6" fillId="0" borderId="34" xfId="5" applyNumberFormat="1" applyFont="1" applyFill="1" applyBorder="1" applyAlignment="1">
      <alignment horizontal="center" vertical="center"/>
    </xf>
    <xf numFmtId="168" fontId="8" fillId="0" borderId="34" xfId="5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 wrapText="1"/>
    </xf>
    <xf numFmtId="49" fontId="8" fillId="0" borderId="34" xfId="0" applyNumberFormat="1" applyFont="1" applyBorder="1" applyAlignment="1">
      <alignment horizontal="left" vertical="center" wrapText="1"/>
    </xf>
    <xf numFmtId="168" fontId="8" fillId="0" borderId="35" xfId="5" applyNumberFormat="1" applyFont="1" applyFill="1" applyBorder="1" applyAlignment="1">
      <alignment horizontal="center" vertical="center"/>
    </xf>
    <xf numFmtId="168" fontId="8" fillId="0" borderId="35" xfId="0" applyNumberFormat="1" applyFont="1" applyBorder="1" applyAlignment="1">
      <alignment vertical="center"/>
    </xf>
    <xf numFmtId="3" fontId="59" fillId="0" borderId="34" xfId="0" applyNumberFormat="1" applyFont="1" applyBorder="1"/>
    <xf numFmtId="198" fontId="8" fillId="0" borderId="34" xfId="8" applyNumberFormat="1" applyFont="1" applyFill="1" applyBorder="1" applyAlignment="1">
      <alignment vertical="center" wrapText="1"/>
    </xf>
    <xf numFmtId="170" fontId="8" fillId="0" borderId="34" xfId="5" applyNumberFormat="1" applyFont="1" applyFill="1" applyBorder="1" applyAlignment="1">
      <alignment horizontal="right" vertical="center"/>
    </xf>
    <xf numFmtId="198" fontId="6" fillId="0" borderId="34" xfId="0" applyNumberFormat="1" applyFont="1" applyBorder="1" applyAlignment="1">
      <alignment horizontal="center" vertical="center" wrapText="1"/>
    </xf>
    <xf numFmtId="169" fontId="6" fillId="0" borderId="34" xfId="0" applyNumberFormat="1" applyFont="1" applyBorder="1" applyAlignment="1">
      <alignment vertical="center"/>
    </xf>
    <xf numFmtId="169" fontId="6" fillId="0" borderId="34" xfId="0" applyNumberFormat="1" applyFont="1" applyBorder="1"/>
    <xf numFmtId="168" fontId="6" fillId="0" borderId="34" xfId="0" applyNumberFormat="1" applyFont="1" applyBorder="1" applyAlignment="1">
      <alignment wrapText="1"/>
    </xf>
    <xf numFmtId="170" fontId="8" fillId="0" borderId="34" xfId="0" applyNumberFormat="1" applyFont="1" applyBorder="1" applyAlignment="1">
      <alignment vertical="center" wrapText="1"/>
    </xf>
    <xf numFmtId="170" fontId="8" fillId="0" borderId="35" xfId="0" applyNumberFormat="1" applyFont="1" applyBorder="1" applyAlignment="1">
      <alignment horizontal="center" vertical="center"/>
    </xf>
    <xf numFmtId="198" fontId="45" fillId="0" borderId="0" xfId="0" applyNumberFormat="1" applyFont="1" applyAlignment="1">
      <alignment horizontal="center" vertical="center" wrapText="1"/>
    </xf>
    <xf numFmtId="198" fontId="8" fillId="0" borderId="0" xfId="8" applyNumberFormat="1" applyFont="1" applyFill="1" applyBorder="1" applyAlignment="1"/>
    <xf numFmtId="168" fontId="8" fillId="0" borderId="0" xfId="0" applyNumberFormat="1" applyFont="1" applyAlignment="1">
      <alignment wrapText="1"/>
    </xf>
    <xf numFmtId="168" fontId="6" fillId="0" borderId="0" xfId="5" applyNumberFormat="1" applyFont="1" applyFill="1" applyBorder="1" applyAlignment="1">
      <alignment horizontal="center" vertical="center"/>
    </xf>
    <xf numFmtId="170" fontId="8" fillId="0" borderId="0" xfId="5" applyNumberFormat="1" applyFont="1" applyFill="1" applyBorder="1" applyAlignment="1">
      <alignment horizontal="center" vertical="center"/>
    </xf>
    <xf numFmtId="168" fontId="8" fillId="0" borderId="0" xfId="5" applyNumberFormat="1" applyFont="1" applyFill="1" applyBorder="1" applyAlignment="1">
      <alignment horizontal="center" vertical="center"/>
    </xf>
    <xf numFmtId="170" fontId="6" fillId="0" borderId="0" xfId="5" applyNumberFormat="1" applyFont="1" applyFill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 wrapText="1"/>
    </xf>
    <xf numFmtId="49" fontId="48" fillId="0" borderId="31" xfId="0" applyNumberFormat="1" applyFont="1" applyBorder="1" applyAlignment="1">
      <alignment vertical="center" wrapText="1"/>
    </xf>
    <xf numFmtId="0" fontId="47" fillId="0" borderId="31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/>
    </xf>
    <xf numFmtId="0" fontId="57" fillId="0" borderId="31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horizontal="center" vertical="center" wrapText="1"/>
    </xf>
    <xf numFmtId="49" fontId="47" fillId="0" borderId="32" xfId="0" applyNumberFormat="1" applyFont="1" applyBorder="1" applyAlignment="1">
      <alignment vertical="center" wrapText="1"/>
    </xf>
    <xf numFmtId="192" fontId="47" fillId="0" borderId="32" xfId="0" applyNumberFormat="1" applyFont="1" applyBorder="1" applyAlignment="1">
      <alignment horizontal="right" vertical="center" wrapText="1"/>
    </xf>
    <xf numFmtId="0" fontId="47" fillId="0" borderId="32" xfId="0" applyFont="1" applyBorder="1" applyAlignment="1">
      <alignment vertical="center"/>
    </xf>
    <xf numFmtId="165" fontId="47" fillId="0" borderId="32" xfId="4" applyFont="1" applyFill="1" applyBorder="1" applyAlignment="1">
      <alignment horizontal="right" vertical="center" wrapText="1"/>
    </xf>
    <xf numFmtId="168" fontId="47" fillId="0" borderId="32" xfId="0" applyNumberFormat="1" applyFont="1" applyBorder="1" applyAlignment="1">
      <alignment horizontal="right" vertical="center" wrapText="1"/>
    </xf>
    <xf numFmtId="0" fontId="48" fillId="0" borderId="32" xfId="0" applyFont="1" applyBorder="1" applyAlignment="1">
      <alignment horizontal="center" vertical="center" wrapText="1"/>
    </xf>
    <xf numFmtId="49" fontId="48" fillId="0" borderId="32" xfId="0" applyNumberFormat="1" applyFont="1" applyBorder="1" applyAlignment="1">
      <alignment vertical="center" wrapText="1"/>
    </xf>
    <xf numFmtId="168" fontId="48" fillId="0" borderId="32" xfId="5" applyNumberFormat="1" applyFont="1" applyFill="1" applyBorder="1" applyAlignment="1">
      <alignment vertical="center"/>
    </xf>
    <xf numFmtId="0" fontId="48" fillId="0" borderId="32" xfId="0" applyFont="1" applyBorder="1" applyAlignment="1">
      <alignment vertical="center"/>
    </xf>
    <xf numFmtId="168" fontId="48" fillId="0" borderId="32" xfId="0" applyNumberFormat="1" applyFont="1" applyBorder="1" applyAlignment="1">
      <alignment vertical="center"/>
    </xf>
    <xf numFmtId="168" fontId="47" fillId="0" borderId="32" xfId="0" applyNumberFormat="1" applyFont="1" applyBorder="1" applyAlignment="1">
      <alignment horizontal="center" vertical="center" wrapText="1"/>
    </xf>
    <xf numFmtId="168" fontId="48" fillId="0" borderId="32" xfId="0" applyNumberFormat="1" applyFont="1" applyBorder="1" applyAlignment="1">
      <alignment horizontal="right" vertical="center" wrapText="1"/>
    </xf>
    <xf numFmtId="168" fontId="48" fillId="0" borderId="32" xfId="0" applyNumberFormat="1" applyFont="1" applyBorder="1" applyAlignment="1">
      <alignment vertical="center" wrapText="1"/>
    </xf>
    <xf numFmtId="168" fontId="47" fillId="0" borderId="32" xfId="5" applyNumberFormat="1" applyFont="1" applyFill="1" applyBorder="1" applyAlignment="1">
      <alignment horizontal="right" vertical="center" wrapText="1"/>
    </xf>
    <xf numFmtId="168" fontId="47" fillId="0" borderId="32" xfId="5" applyNumberFormat="1" applyFont="1" applyFill="1" applyBorder="1" applyAlignment="1">
      <alignment horizontal="right" vertical="center"/>
    </xf>
    <xf numFmtId="168" fontId="47" fillId="0" borderId="32" xfId="0" applyNumberFormat="1" applyFont="1" applyBorder="1" applyAlignment="1">
      <alignment horizontal="right" vertical="center"/>
    </xf>
    <xf numFmtId="168" fontId="47" fillId="0" borderId="32" xfId="0" applyNumberFormat="1" applyFont="1" applyBorder="1" applyAlignment="1">
      <alignment vertical="center"/>
    </xf>
    <xf numFmtId="168" fontId="47" fillId="0" borderId="32" xfId="5" applyNumberFormat="1" applyFont="1" applyFill="1" applyBorder="1" applyAlignment="1">
      <alignment vertical="center"/>
    </xf>
    <xf numFmtId="168" fontId="47" fillId="0" borderId="32" xfId="5" applyNumberFormat="1" applyFont="1" applyFill="1" applyBorder="1" applyAlignment="1">
      <alignment vertical="center" wrapText="1"/>
    </xf>
    <xf numFmtId="1" fontId="47" fillId="0" borderId="32" xfId="0" applyNumberFormat="1" applyFont="1" applyBorder="1" applyAlignment="1">
      <alignment horizontal="right" vertical="center"/>
    </xf>
    <xf numFmtId="1" fontId="47" fillId="0" borderId="32" xfId="0" applyNumberFormat="1" applyFont="1" applyBorder="1" applyAlignment="1">
      <alignment vertical="center"/>
    </xf>
    <xf numFmtId="0" fontId="47" fillId="0" borderId="32" xfId="0" applyFont="1" applyBorder="1" applyAlignment="1">
      <alignment horizontal="right" vertical="center" wrapText="1"/>
    </xf>
    <xf numFmtId="0" fontId="47" fillId="0" borderId="32" xfId="0" applyFont="1" applyBorder="1" applyAlignment="1">
      <alignment horizontal="right" vertical="center"/>
    </xf>
    <xf numFmtId="3" fontId="47" fillId="0" borderId="32" xfId="0" applyNumberFormat="1" applyFont="1" applyBorder="1" applyAlignment="1">
      <alignment horizontal="right" vertical="center"/>
    </xf>
    <xf numFmtId="3" fontId="47" fillId="0" borderId="32" xfId="0" applyNumberFormat="1" applyFont="1" applyBorder="1" applyAlignment="1">
      <alignment vertical="center"/>
    </xf>
    <xf numFmtId="3" fontId="48" fillId="0" borderId="32" xfId="0" applyNumberFormat="1" applyFont="1" applyBorder="1" applyAlignment="1">
      <alignment horizontal="right"/>
    </xf>
    <xf numFmtId="3" fontId="48" fillId="0" borderId="32" xfId="0" applyNumberFormat="1" applyFont="1" applyBorder="1"/>
    <xf numFmtId="196" fontId="47" fillId="0" borderId="32" xfId="0" applyNumberFormat="1" applyFont="1" applyBorder="1" applyAlignment="1">
      <alignment horizontal="right" vertical="center" wrapText="1"/>
    </xf>
    <xf numFmtId="196" fontId="47" fillId="0" borderId="32" xfId="0" applyNumberFormat="1" applyFont="1" applyBorder="1" applyAlignment="1">
      <alignment horizontal="right" vertical="center"/>
    </xf>
    <xf numFmtId="196" fontId="47" fillId="0" borderId="32" xfId="0" applyNumberFormat="1" applyFont="1" applyBorder="1" applyAlignment="1">
      <alignment vertical="center"/>
    </xf>
    <xf numFmtId="196" fontId="47" fillId="0" borderId="32" xfId="0" applyNumberFormat="1" applyFont="1" applyBorder="1" applyAlignment="1">
      <alignment vertical="center" wrapText="1"/>
    </xf>
    <xf numFmtId="192" fontId="57" fillId="0" borderId="32" xfId="0" applyNumberFormat="1" applyFont="1" applyBorder="1" applyAlignment="1">
      <alignment vertical="center"/>
    </xf>
    <xf numFmtId="3" fontId="47" fillId="0" borderId="32" xfId="0" applyNumberFormat="1" applyFont="1" applyBorder="1" applyAlignment="1">
      <alignment vertical="center" wrapText="1"/>
    </xf>
    <xf numFmtId="1" fontId="47" fillId="0" borderId="32" xfId="0" applyNumberFormat="1" applyFont="1" applyBorder="1" applyAlignment="1">
      <alignment vertical="center" wrapText="1"/>
    </xf>
    <xf numFmtId="192" fontId="47" fillId="0" borderId="32" xfId="0" applyNumberFormat="1" applyFont="1" applyBorder="1" applyAlignment="1">
      <alignment vertical="center" wrapText="1"/>
    </xf>
    <xf numFmtId="1" fontId="47" fillId="0" borderId="32" xfId="0" applyNumberFormat="1" applyFont="1" applyBorder="1"/>
    <xf numFmtId="0" fontId="47" fillId="0" borderId="33" xfId="0" applyFont="1" applyBorder="1" applyAlignment="1">
      <alignment horizontal="center" vertical="center" wrapText="1"/>
    </xf>
    <xf numFmtId="49" fontId="48" fillId="0" borderId="33" xfId="0" applyNumberFormat="1" applyFont="1" applyBorder="1" applyAlignment="1">
      <alignment horizontal="justify" vertical="center" wrapText="1"/>
    </xf>
    <xf numFmtId="0" fontId="48" fillId="0" borderId="33" xfId="0" applyFont="1" applyBorder="1" applyAlignment="1">
      <alignment horizontal="center" vertical="center" wrapText="1"/>
    </xf>
    <xf numFmtId="168" fontId="48" fillId="0" borderId="33" xfId="5" applyNumberFormat="1" applyFont="1" applyFill="1" applyBorder="1" applyAlignment="1">
      <alignment vertical="center" wrapText="1"/>
    </xf>
    <xf numFmtId="0" fontId="47" fillId="0" borderId="33" xfId="0" applyFont="1" applyBorder="1" applyAlignment="1">
      <alignment vertical="center"/>
    </xf>
    <xf numFmtId="168" fontId="48" fillId="0" borderId="33" xfId="0" applyNumberFormat="1" applyFont="1" applyBorder="1" applyAlignment="1">
      <alignment vertical="center"/>
    </xf>
    <xf numFmtId="165" fontId="10" fillId="0" borderId="10" xfId="4" applyFont="1" applyFill="1" applyBorder="1"/>
    <xf numFmtId="49" fontId="13" fillId="8" borderId="34" xfId="0" applyNumberFormat="1" applyFont="1" applyFill="1" applyBorder="1" applyAlignment="1">
      <alignment vertical="center" wrapText="1"/>
    </xf>
    <xf numFmtId="0" fontId="8" fillId="8" borderId="34" xfId="0" applyFont="1" applyFill="1" applyBorder="1" applyAlignment="1">
      <alignment horizontal="center" vertical="center" wrapText="1"/>
    </xf>
    <xf numFmtId="168" fontId="13" fillId="8" borderId="34" xfId="4" applyNumberFormat="1" applyFont="1" applyFill="1" applyBorder="1" applyAlignment="1">
      <alignment vertical="center"/>
    </xf>
    <xf numFmtId="170" fontId="13" fillId="8" borderId="34" xfId="4" applyNumberFormat="1" applyFont="1" applyFill="1" applyBorder="1" applyAlignment="1">
      <alignment horizontal="center" vertical="center" wrapText="1"/>
    </xf>
    <xf numFmtId="170" fontId="13" fillId="8" borderId="34" xfId="5" applyNumberFormat="1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170" fontId="6" fillId="8" borderId="34" xfId="4" applyNumberFormat="1" applyFont="1" applyFill="1" applyBorder="1" applyAlignment="1">
      <alignment vertical="center"/>
    </xf>
    <xf numFmtId="170" fontId="13" fillId="8" borderId="34" xfId="4" applyNumberFormat="1" applyFont="1" applyFill="1" applyBorder="1" applyAlignment="1">
      <alignment vertical="center"/>
    </xf>
    <xf numFmtId="0" fontId="13" fillId="8" borderId="34" xfId="0" applyFont="1" applyFill="1" applyBorder="1" applyAlignment="1">
      <alignment horizontal="center" vertical="center" wrapText="1"/>
    </xf>
    <xf numFmtId="168" fontId="13" fillId="8" borderId="34" xfId="5" applyNumberFormat="1" applyFont="1" applyFill="1" applyBorder="1" applyAlignment="1">
      <alignment vertical="center"/>
    </xf>
    <xf numFmtId="49" fontId="8" fillId="8" borderId="34" xfId="0" applyNumberFormat="1" applyFont="1" applyFill="1" applyBorder="1" applyAlignment="1">
      <alignment vertical="center" wrapText="1"/>
    </xf>
    <xf numFmtId="0" fontId="9" fillId="8" borderId="34" xfId="0" applyFont="1" applyFill="1" applyBorder="1"/>
    <xf numFmtId="168" fontId="8" fillId="8" borderId="34" xfId="5" applyNumberFormat="1" applyFont="1" applyFill="1" applyBorder="1" applyAlignment="1">
      <alignment vertical="center"/>
    </xf>
    <xf numFmtId="168" fontId="8" fillId="8" borderId="34" xfId="0" applyNumberFormat="1" applyFont="1" applyFill="1" applyBorder="1" applyAlignment="1">
      <alignment vertical="center" wrapText="1"/>
    </xf>
    <xf numFmtId="168" fontId="8" fillId="8" borderId="34" xfId="0" applyNumberFormat="1" applyFont="1" applyFill="1" applyBorder="1" applyAlignment="1">
      <alignment vertical="center"/>
    </xf>
    <xf numFmtId="191" fontId="8" fillId="8" borderId="34" xfId="0" applyNumberFormat="1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vertical="center"/>
    </xf>
    <xf numFmtId="0" fontId="6" fillId="8" borderId="34" xfId="0" applyFont="1" applyFill="1" applyBorder="1" applyAlignment="1">
      <alignment vertical="center"/>
    </xf>
    <xf numFmtId="192" fontId="47" fillId="5" borderId="32" xfId="0" applyNumberFormat="1" applyFont="1" applyFill="1" applyBorder="1" applyAlignment="1">
      <alignment horizontal="right" vertical="center" wrapText="1"/>
    </xf>
    <xf numFmtId="0" fontId="47" fillId="5" borderId="32" xfId="0" applyFont="1" applyFill="1" applyBorder="1" applyAlignment="1">
      <alignment vertical="center"/>
    </xf>
    <xf numFmtId="168" fontId="47" fillId="5" borderId="32" xfId="0" applyNumberFormat="1" applyFont="1" applyFill="1" applyBorder="1" applyAlignment="1">
      <alignment horizontal="right" vertical="center" wrapText="1"/>
    </xf>
    <xf numFmtId="3" fontId="38" fillId="0" borderId="10" xfId="0" applyNumberFormat="1" applyFont="1" applyBorder="1" applyAlignment="1">
      <alignment vertical="center" wrapText="1"/>
    </xf>
    <xf numFmtId="0" fontId="6" fillId="7" borderId="34" xfId="0" applyFont="1" applyFill="1" applyBorder="1" applyAlignment="1">
      <alignment horizontal="center" vertical="center" wrapText="1"/>
    </xf>
    <xf numFmtId="49" fontId="6" fillId="7" borderId="34" xfId="0" applyNumberFormat="1" applyFont="1" applyFill="1" applyBorder="1" applyAlignment="1">
      <alignment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vertical="center"/>
    </xf>
    <xf numFmtId="192" fontId="8" fillId="7" borderId="34" xfId="0" applyNumberFormat="1" applyFont="1" applyFill="1" applyBorder="1" applyAlignment="1">
      <alignment vertical="center"/>
    </xf>
    <xf numFmtId="0" fontId="13" fillId="7" borderId="34" xfId="0" applyFont="1" applyFill="1" applyBorder="1" applyAlignment="1">
      <alignment horizontal="center" vertical="center" wrapText="1"/>
    </xf>
    <xf numFmtId="168" fontId="13" fillId="7" borderId="34" xfId="5" applyNumberFormat="1" applyFont="1" applyFill="1" applyBorder="1" applyAlignment="1">
      <alignment horizontal="center" vertical="center" wrapText="1"/>
    </xf>
    <xf numFmtId="168" fontId="13" fillId="7" borderId="0" xfId="5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vertical="center"/>
    </xf>
    <xf numFmtId="198" fontId="10" fillId="7" borderId="0" xfId="0" applyNumberFormat="1" applyFont="1" applyFill="1" applyAlignment="1">
      <alignment vertical="center"/>
    </xf>
    <xf numFmtId="0" fontId="8" fillId="7" borderId="0" xfId="0" applyFont="1" applyFill="1" applyAlignment="1">
      <alignment vertical="center"/>
    </xf>
    <xf numFmtId="49" fontId="13" fillId="0" borderId="34" xfId="0" applyNumberFormat="1" applyFont="1" applyBorder="1" applyAlignment="1">
      <alignment horizontal="left"/>
    </xf>
    <xf numFmtId="198" fontId="6" fillId="0" borderId="34" xfId="8" applyNumberFormat="1" applyFont="1" applyFill="1" applyBorder="1" applyAlignment="1"/>
    <xf numFmtId="198" fontId="6" fillId="0" borderId="0" xfId="8" applyNumberFormat="1" applyFont="1" applyFill="1" applyBorder="1" applyAlignment="1"/>
    <xf numFmtId="198" fontId="6" fillId="0" borderId="0" xfId="8" applyNumberFormat="1" applyFont="1" applyFill="1" applyAlignment="1"/>
    <xf numFmtId="49" fontId="58" fillId="0" borderId="34" xfId="0" applyNumberFormat="1" applyFont="1" applyBorder="1" applyAlignment="1">
      <alignment horizontal="left" vertical="center" wrapText="1"/>
    </xf>
    <xf numFmtId="168" fontId="8" fillId="0" borderId="32" xfId="0" applyNumberFormat="1" applyFont="1" applyBorder="1" applyAlignment="1">
      <alignment vertical="center"/>
    </xf>
    <xf numFmtId="168" fontId="8" fillId="0" borderId="32" xfId="5" applyNumberFormat="1" applyFont="1" applyFill="1" applyBorder="1" applyAlignment="1">
      <alignment vertical="center" wrapText="1"/>
    </xf>
    <xf numFmtId="168" fontId="8" fillId="0" borderId="32" xfId="5" applyNumberFormat="1" applyFont="1" applyFill="1" applyBorder="1" applyAlignment="1">
      <alignment horizontal="right" vertical="center" wrapText="1"/>
    </xf>
    <xf numFmtId="0" fontId="8" fillId="0" borderId="32" xfId="0" applyFont="1" applyBorder="1" applyAlignment="1">
      <alignment vertical="center"/>
    </xf>
    <xf numFmtId="168" fontId="47" fillId="0" borderId="0" xfId="0" applyNumberFormat="1" applyFont="1" applyAlignment="1">
      <alignment vertical="center"/>
    </xf>
    <xf numFmtId="170" fontId="6" fillId="0" borderId="23" xfId="4" applyNumberFormat="1" applyFont="1" applyFill="1" applyBorder="1" applyAlignment="1">
      <alignment horizontal="right"/>
    </xf>
    <xf numFmtId="170" fontId="6" fillId="0" borderId="10" xfId="5" applyNumberFormat="1" applyFont="1" applyFill="1" applyBorder="1" applyAlignment="1">
      <alignment horizontal="right" vertical="center"/>
    </xf>
    <xf numFmtId="4" fontId="10" fillId="0" borderId="34" xfId="0" applyNumberFormat="1" applyFont="1" applyBorder="1" applyAlignment="1">
      <alignment horizontal="center" vertical="center" wrapText="1"/>
    </xf>
    <xf numFmtId="2" fontId="8" fillId="0" borderId="10" xfId="5" applyNumberFormat="1" applyFont="1" applyFill="1" applyBorder="1" applyAlignment="1">
      <alignment horizontal="right" vertical="center"/>
    </xf>
    <xf numFmtId="175" fontId="8" fillId="0" borderId="10" xfId="4" applyNumberFormat="1" applyFont="1" applyFill="1" applyBorder="1" applyAlignment="1"/>
    <xf numFmtId="4" fontId="8" fillId="0" borderId="10" xfId="7" applyNumberFormat="1" applyFont="1" applyBorder="1" applyAlignment="1">
      <alignment horizontal="right" vertical="top" wrapText="1"/>
    </xf>
    <xf numFmtId="174" fontId="8" fillId="0" borderId="10" xfId="4" applyNumberFormat="1" applyFont="1" applyFill="1" applyBorder="1" applyAlignment="1">
      <alignment horizontal="right"/>
    </xf>
    <xf numFmtId="174" fontId="8" fillId="0" borderId="10" xfId="4" applyNumberFormat="1" applyFont="1" applyFill="1" applyBorder="1" applyAlignment="1">
      <alignment horizontal="right" vertical="center"/>
    </xf>
    <xf numFmtId="174" fontId="8" fillId="0" borderId="10" xfId="4" applyNumberFormat="1" applyFont="1" applyFill="1" applyBorder="1" applyAlignment="1">
      <alignment vertical="center"/>
    </xf>
    <xf numFmtId="175" fontId="8" fillId="0" borderId="11" xfId="4" applyNumberFormat="1" applyFont="1" applyFill="1" applyBorder="1" applyAlignment="1">
      <alignment horizontal="right" vertical="center"/>
    </xf>
    <xf numFmtId="169" fontId="8" fillId="0" borderId="10" xfId="5" applyNumberFormat="1" applyFont="1" applyFill="1" applyBorder="1" applyAlignment="1">
      <alignment vertical="center"/>
    </xf>
    <xf numFmtId="3" fontId="8" fillId="0" borderId="10" xfId="5" applyNumberFormat="1" applyFont="1" applyFill="1" applyBorder="1" applyAlignment="1">
      <alignment horizontal="right" vertical="center"/>
    </xf>
    <xf numFmtId="3" fontId="6" fillId="0" borderId="10" xfId="9" applyNumberFormat="1" applyFont="1" applyBorder="1" applyAlignment="1">
      <alignment horizontal="right"/>
    </xf>
    <xf numFmtId="175" fontId="8" fillId="0" borderId="10" xfId="4" applyNumberFormat="1" applyFont="1" applyFill="1" applyBorder="1" applyAlignment="1">
      <alignment horizontal="right" vertical="center"/>
    </xf>
    <xf numFmtId="199" fontId="6" fillId="0" borderId="10" xfId="4" applyNumberFormat="1" applyFont="1" applyFill="1" applyBorder="1"/>
    <xf numFmtId="0" fontId="6" fillId="0" borderId="10" xfId="0" applyFont="1" applyBorder="1"/>
    <xf numFmtId="49" fontId="8" fillId="0" borderId="22" xfId="0" quotePrefix="1" applyNumberFormat="1" applyFont="1" applyBorder="1" applyAlignment="1">
      <alignment horizontal="left" indent="1"/>
    </xf>
    <xf numFmtId="0" fontId="52" fillId="0" borderId="0" xfId="0" applyFont="1" applyAlignment="1">
      <alignment horizontal="center"/>
    </xf>
    <xf numFmtId="49" fontId="8" fillId="0" borderId="22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/>
    <xf numFmtId="49" fontId="8" fillId="0" borderId="22" xfId="0" applyNumberFormat="1" applyFont="1" applyBorder="1" applyAlignment="1">
      <alignment wrapText="1"/>
    </xf>
    <xf numFmtId="0" fontId="8" fillId="0" borderId="18" xfId="0" applyFont="1" applyBorder="1" applyAlignment="1">
      <alignment horizontal="left" vertical="center" wrapText="1"/>
    </xf>
    <xf numFmtId="49" fontId="6" fillId="0" borderId="22" xfId="0" applyNumberFormat="1" applyFont="1" applyFill="1" applyBorder="1"/>
    <xf numFmtId="0" fontId="6" fillId="0" borderId="10" xfId="0" applyFont="1" applyFill="1" applyBorder="1" applyAlignment="1">
      <alignment horizontal="center"/>
    </xf>
    <xf numFmtId="3" fontId="6" fillId="0" borderId="10" xfId="9" applyNumberFormat="1" applyFont="1" applyFill="1" applyBorder="1" applyAlignment="1">
      <alignment vertical="center" wrapText="1"/>
    </xf>
    <xf numFmtId="49" fontId="8" fillId="0" borderId="22" xfId="0" applyNumberFormat="1" applyFont="1" applyFill="1" applyBorder="1"/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/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7" xfId="0" applyFont="1" applyBorder="1" applyAlignment="1">
      <alignment horizontal="right" vertical="center"/>
    </xf>
    <xf numFmtId="0" fontId="51" fillId="0" borderId="27" xfId="0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2" fontId="48" fillId="0" borderId="26" xfId="0" applyNumberFormat="1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</cellXfs>
  <cellStyles count="63">
    <cellStyle name="??" xfId="10"/>
    <cellStyle name="?? [0.00]_PRODUCT DETAIL Q1" xfId="11"/>
    <cellStyle name="?? [0]_??" xfId="12"/>
    <cellStyle name="???? [0.00]_PRODUCT DETAIL Q1" xfId="13"/>
    <cellStyle name="????_PRODUCT DETAIL Q1" xfId="14"/>
    <cellStyle name="???_???" xfId="15"/>
    <cellStyle name="??_(????)??????" xfId="16"/>
    <cellStyle name="1" xfId="17"/>
    <cellStyle name="2" xfId="18"/>
    <cellStyle name="3" xfId="19"/>
    <cellStyle name="4" xfId="20"/>
    <cellStyle name="AeE­ [0]_INQUIRY ¿µ¾÷AßAø " xfId="21"/>
    <cellStyle name="AeE­_INQUIRY ¿µ¾÷AßAø " xfId="22"/>
    <cellStyle name="AÞ¸¶ [0]_INQUIRY ¿?¾÷AßAø " xfId="23"/>
    <cellStyle name="AÞ¸¶_INQUIRY ¿?¾÷AßAø " xfId="24"/>
    <cellStyle name="C?AØ_¿?¾÷CoE² " xfId="25"/>
    <cellStyle name="C￥AØ_¿μ¾÷CoE² " xfId="26"/>
    <cellStyle name="Comma" xfId="8" builtinId="3"/>
    <cellStyle name="Comma [0]" xfId="1" builtinId="6"/>
    <cellStyle name="Comma 10" xfId="5"/>
    <cellStyle name="Comma 2" xfId="4"/>
    <cellStyle name="Comma 3" xfId="27"/>
    <cellStyle name="Comma 4" xfId="61"/>
    <cellStyle name="Comma0" xfId="28"/>
    <cellStyle name="Currency0" xfId="29"/>
    <cellStyle name="Date" xfId="30"/>
    <cellStyle name="Fixed" xfId="31"/>
    <cellStyle name="Header1" xfId="32"/>
    <cellStyle name="Header2" xfId="33"/>
    <cellStyle name="Heading 1 2" xfId="34"/>
    <cellStyle name="Heading 2 2" xfId="35"/>
    <cellStyle name="n" xfId="36"/>
    <cellStyle name="Normal" xfId="0" builtinId="0"/>
    <cellStyle name="Normal - Style1" xfId="37"/>
    <cellStyle name="Normal 2" xfId="7"/>
    <cellStyle name="Normal 3" xfId="38"/>
    <cellStyle name="Normal 4" xfId="39"/>
    <cellStyle name="Normal 5" xfId="9"/>
    <cellStyle name="Normal_Bieu BC cap Huyen - Xa " xfId="3"/>
    <cellStyle name="Normal_Bieutheovien" xfId="2"/>
    <cellStyle name="Normal_danh muc dau tu 2017" xfId="6"/>
    <cellStyle name="Percent 2" xfId="62"/>
    <cellStyle name="Total 2" xfId="40"/>
    <cellStyle name=" [0.00]_ Att. 1- Cover" xfId="41"/>
    <cellStyle name="_ Att. 1- Cover" xfId="42"/>
    <cellStyle name="?_ Att. 1- Cover" xfId="43"/>
    <cellStyle name="똿뗦먛귟 [0.00]_PRODUCT DETAIL Q1" xfId="44"/>
    <cellStyle name="똿뗦먛귟_PRODUCT DETAIL Q1" xfId="45"/>
    <cellStyle name="믅됞 [0.00]_PRODUCT DETAIL Q1" xfId="46"/>
    <cellStyle name="믅됞_PRODUCT DETAIL Q1" xfId="47"/>
    <cellStyle name="백분율_95" xfId="48"/>
    <cellStyle name="뷭?_BOOKSHIP" xfId="49"/>
    <cellStyle name="콤마 [0]_1202" xfId="50"/>
    <cellStyle name="콤마_1202" xfId="51"/>
    <cellStyle name="통화 [0]_1202" xfId="52"/>
    <cellStyle name="통화_1202" xfId="53"/>
    <cellStyle name="표준_(정보부문)월별인원계획" xfId="54"/>
    <cellStyle name="一般_00Q3902REV.1" xfId="55"/>
    <cellStyle name="千分位[0]_00Q3902REV.1" xfId="56"/>
    <cellStyle name="千分位_00Q3902REV.1" xfId="57"/>
    <cellStyle name="貨幣 [0]_00Q3902REV.1" xfId="58"/>
    <cellStyle name="貨幣[0]_BRE" xfId="59"/>
    <cellStyle name="貨幣_00Q3902REV.1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so%20lieu%20%20KTXH%20%20gd%202015-2020%20va%202020-2025%20(13.11.2019)%20l&#7847;n%201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ểu KT- XH 2019-2020"/>
      <sheetName val="B1-TH"/>
      <sheetName val="DM Bieu"/>
      <sheetName val="B2-TCNS"/>
      <sheetName val="B3-DV"/>
      <sheetName val="B4-CN"/>
      <sheetName val="B5-NN"/>
      <sheetName val="B6-PTDN"/>
      <sheetName val="B7-VHXH"/>
      <sheetName val="B8-TNMT"/>
      <sheetName val="B9-QH"/>
      <sheetName val="Sheet1"/>
    </sheetNames>
    <sheetDataSet>
      <sheetData sheetId="0" refreshError="1"/>
      <sheetData sheetId="1" refreshError="1">
        <row r="14">
          <cell r="D14">
            <v>26059</v>
          </cell>
          <cell r="E14">
            <v>26525</v>
          </cell>
          <cell r="F14">
            <v>27174</v>
          </cell>
          <cell r="G14">
            <v>27922</v>
          </cell>
          <cell r="H14">
            <v>28357.583200000001</v>
          </cell>
          <cell r="I14">
            <v>28800</v>
          </cell>
          <cell r="M14">
            <v>25300</v>
          </cell>
          <cell r="N14">
            <v>25687.090000000004</v>
          </cell>
          <cell r="O14">
            <v>26080.102477000008</v>
          </cell>
          <cell r="P14">
            <v>26479.128044898109</v>
          </cell>
          <cell r="Q14">
            <v>26884.258703985051</v>
          </cell>
        </row>
        <row r="18">
          <cell r="D18">
            <v>6207</v>
          </cell>
          <cell r="E18">
            <v>6403</v>
          </cell>
          <cell r="F18">
            <v>6560</v>
          </cell>
          <cell r="G18">
            <v>6817</v>
          </cell>
          <cell r="H18">
            <v>6999</v>
          </cell>
          <cell r="I18">
            <v>7129</v>
          </cell>
          <cell r="M18">
            <v>7259</v>
          </cell>
          <cell r="O18">
            <v>7519</v>
          </cell>
          <cell r="P18">
            <v>7649</v>
          </cell>
          <cell r="Q18">
            <v>7779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22" zoomScale="115" zoomScaleNormal="115" workbookViewId="0">
      <selection activeCell="A3" sqref="A3:I3"/>
    </sheetView>
  </sheetViews>
  <sheetFormatPr defaultRowHeight="14.25"/>
  <cols>
    <col min="1" max="1" width="45.375" customWidth="1"/>
    <col min="2" max="2" width="11.25" bestFit="1" customWidth="1"/>
    <col min="3" max="3" width="10.375" customWidth="1"/>
    <col min="4" max="6" width="10.625" customWidth="1"/>
    <col min="7" max="7" width="10.25" customWidth="1"/>
    <col min="8" max="8" width="10" customWidth="1"/>
    <col min="9" max="9" width="11.25" customWidth="1"/>
    <col min="10" max="10" width="14.75" bestFit="1" customWidth="1"/>
  </cols>
  <sheetData>
    <row r="1" spans="1:11" ht="18.75">
      <c r="A1" s="483" t="s">
        <v>0</v>
      </c>
      <c r="B1" s="483"/>
      <c r="C1" s="483"/>
      <c r="D1" s="483"/>
      <c r="E1" s="483"/>
      <c r="F1" s="483"/>
      <c r="G1" s="483"/>
      <c r="H1" s="483"/>
      <c r="I1" s="483"/>
    </row>
    <row r="2" spans="1:11" ht="22.15" customHeight="1">
      <c r="A2" s="484" t="s">
        <v>1</v>
      </c>
      <c r="B2" s="484"/>
      <c r="C2" s="484"/>
      <c r="D2" s="484"/>
      <c r="E2" s="484"/>
      <c r="F2" s="484"/>
      <c r="G2" s="484"/>
      <c r="H2" s="484"/>
      <c r="I2" s="484"/>
      <c r="J2" s="1"/>
    </row>
    <row r="3" spans="1:11" ht="21.6" customHeight="1" thickBot="1">
      <c r="A3" s="485" t="s">
        <v>353</v>
      </c>
      <c r="B3" s="485"/>
      <c r="C3" s="485"/>
      <c r="D3" s="485"/>
      <c r="E3" s="485"/>
      <c r="F3" s="485"/>
      <c r="G3" s="485"/>
      <c r="H3" s="485"/>
      <c r="I3" s="485"/>
      <c r="J3" s="1"/>
    </row>
    <row r="4" spans="1:11" ht="16.5" customHeight="1" thickTop="1">
      <c r="A4" s="486" t="s">
        <v>2</v>
      </c>
      <c r="B4" s="488" t="s">
        <v>3</v>
      </c>
      <c r="C4" s="492" t="s">
        <v>72</v>
      </c>
      <c r="D4" s="494" t="s">
        <v>350</v>
      </c>
      <c r="E4" s="495"/>
      <c r="F4" s="492" t="s">
        <v>312</v>
      </c>
      <c r="G4" s="490" t="s">
        <v>4</v>
      </c>
      <c r="H4" s="490"/>
      <c r="I4" s="491"/>
      <c r="J4" s="2"/>
    </row>
    <row r="5" spans="1:11" ht="48" thickBot="1">
      <c r="A5" s="487"/>
      <c r="B5" s="489"/>
      <c r="C5" s="493"/>
      <c r="D5" s="86" t="s">
        <v>73</v>
      </c>
      <c r="E5" s="86" t="s">
        <v>316</v>
      </c>
      <c r="F5" s="493"/>
      <c r="G5" s="3" t="s">
        <v>341</v>
      </c>
      <c r="H5" s="4" t="s">
        <v>342</v>
      </c>
      <c r="I5" s="89" t="s">
        <v>340</v>
      </c>
      <c r="J5" s="2"/>
    </row>
    <row r="6" spans="1:11" ht="16.5" thickTop="1">
      <c r="A6" s="11" t="s">
        <v>7</v>
      </c>
      <c r="B6" s="12"/>
      <c r="C6" s="13"/>
      <c r="D6" s="13"/>
      <c r="E6" s="13"/>
      <c r="F6" s="13"/>
      <c r="G6" s="14"/>
      <c r="H6" s="14"/>
      <c r="I6" s="15"/>
      <c r="J6" s="1"/>
    </row>
    <row r="7" spans="1:11" ht="15.75">
      <c r="A7" s="16" t="s">
        <v>8</v>
      </c>
      <c r="B7" s="17"/>
      <c r="C7" s="18"/>
      <c r="D7" s="18"/>
      <c r="E7" s="19"/>
      <c r="F7" s="19"/>
      <c r="G7" s="20"/>
      <c r="H7" s="20"/>
      <c r="I7" s="21"/>
      <c r="J7" s="1"/>
    </row>
    <row r="8" spans="1:11" ht="15.75">
      <c r="A8" s="22" t="s">
        <v>9</v>
      </c>
      <c r="B8" s="23" t="s">
        <v>10</v>
      </c>
      <c r="C8" s="24">
        <f>C16+C12+C9</f>
        <v>2449660.8706319998</v>
      </c>
      <c r="D8" s="24">
        <f>D16+D12+D9</f>
        <v>2721049.1574200001</v>
      </c>
      <c r="E8" s="24">
        <f>E16+E12+E9</f>
        <v>2743384.49</v>
      </c>
      <c r="F8" s="24">
        <f>F16+F12+F9</f>
        <v>3034026.2994999997</v>
      </c>
      <c r="G8" s="26"/>
      <c r="H8" s="26"/>
      <c r="I8" s="27"/>
      <c r="J8" s="24">
        <f>J16+J12+J9</f>
        <v>2721049.1574200001</v>
      </c>
    </row>
    <row r="9" spans="1:11" ht="15.75">
      <c r="A9" s="22" t="s">
        <v>11</v>
      </c>
      <c r="B9" s="23" t="s">
        <v>10</v>
      </c>
      <c r="C9" s="24">
        <f>C10+C11</f>
        <v>917856</v>
      </c>
      <c r="D9" s="24">
        <f>D10+D11</f>
        <v>1043740.95542</v>
      </c>
      <c r="E9" s="24">
        <f>E10+E11</f>
        <v>1057314.7</v>
      </c>
      <c r="F9" s="24">
        <f>F10+F11</f>
        <v>1176145.5379999999</v>
      </c>
      <c r="G9" s="28"/>
      <c r="H9" s="28"/>
      <c r="I9" s="21"/>
      <c r="J9" s="24">
        <f>J10+J11</f>
        <v>1043740.95542</v>
      </c>
    </row>
    <row r="10" spans="1:11" ht="15.75">
      <c r="A10" s="29" t="s">
        <v>12</v>
      </c>
      <c r="B10" s="30" t="s">
        <v>10</v>
      </c>
      <c r="C10" s="100">
        <v>426856</v>
      </c>
      <c r="D10" s="101">
        <v>513740.95542000001</v>
      </c>
      <c r="E10" s="101">
        <f>'Công nghiệp'!M57</f>
        <v>517314.69999999995</v>
      </c>
      <c r="F10" s="101">
        <f>'Công nghiệp'!Q57</f>
        <v>582145.53799999994</v>
      </c>
      <c r="G10" s="32"/>
      <c r="H10" s="33"/>
      <c r="I10" s="21"/>
      <c r="J10" s="101">
        <v>513740.95542000001</v>
      </c>
    </row>
    <row r="11" spans="1:11" ht="15.75">
      <c r="A11" s="29" t="s">
        <v>13</v>
      </c>
      <c r="B11" s="30" t="s">
        <v>10</v>
      </c>
      <c r="C11" s="31">
        <f>C50</f>
        <v>491000</v>
      </c>
      <c r="D11" s="31">
        <f>D50</f>
        <v>530000</v>
      </c>
      <c r="E11" s="31">
        <f>E50</f>
        <v>540000</v>
      </c>
      <c r="F11" s="31">
        <f>F50</f>
        <v>594000</v>
      </c>
      <c r="G11" s="34"/>
      <c r="H11" s="32"/>
      <c r="I11" s="21"/>
      <c r="J11" s="31">
        <v>530000</v>
      </c>
    </row>
    <row r="12" spans="1:11" ht="15.75">
      <c r="A12" s="22" t="s">
        <v>14</v>
      </c>
      <c r="B12" s="23" t="s">
        <v>10</v>
      </c>
      <c r="C12" s="95">
        <f>C13+C14+C15</f>
        <v>803375.22087999992</v>
      </c>
      <c r="D12" s="95">
        <f>D13+D14+D15</f>
        <v>847663.196</v>
      </c>
      <c r="E12" s="95">
        <f>E13+E14+E15</f>
        <v>839118.22</v>
      </c>
      <c r="F12" s="95">
        <f>F13+F14+F15</f>
        <v>917435.6</v>
      </c>
      <c r="G12" s="35"/>
      <c r="H12" s="36"/>
      <c r="I12" s="21"/>
      <c r="J12" s="95">
        <f>J13+J14+J15</f>
        <v>847663.196</v>
      </c>
    </row>
    <row r="13" spans="1:11" ht="15.75">
      <c r="A13" s="29" t="s">
        <v>69</v>
      </c>
      <c r="B13" s="30" t="s">
        <v>10</v>
      </c>
      <c r="C13" s="90">
        <v>517975.22087999992</v>
      </c>
      <c r="D13" s="101">
        <v>578258.196</v>
      </c>
      <c r="E13" s="101">
        <f>'Nông nghiệp'!K8</f>
        <v>534183.22</v>
      </c>
      <c r="F13" s="101">
        <f>'Nông nghiệp'!L8</f>
        <v>537230.6</v>
      </c>
      <c r="G13" s="37"/>
      <c r="H13" s="32"/>
      <c r="I13" s="21"/>
      <c r="J13" s="101">
        <v>578258.196</v>
      </c>
      <c r="K13">
        <v>420850</v>
      </c>
    </row>
    <row r="14" spans="1:11" ht="15.75">
      <c r="A14" s="29" t="s">
        <v>15</v>
      </c>
      <c r="B14" s="30" t="s">
        <v>10</v>
      </c>
      <c r="C14" s="90">
        <v>265550</v>
      </c>
      <c r="D14" s="101">
        <v>248550</v>
      </c>
      <c r="E14" s="101">
        <f>'Nông nghiệp'!K12</f>
        <v>283550</v>
      </c>
      <c r="F14" s="101">
        <f>'Nông nghiệp'!L12</f>
        <v>358300</v>
      </c>
      <c r="G14" s="35"/>
      <c r="H14" s="38"/>
      <c r="I14" s="21"/>
      <c r="J14" s="101">
        <v>248550</v>
      </c>
      <c r="K14">
        <f>K13/12</f>
        <v>35070.833333333336</v>
      </c>
    </row>
    <row r="15" spans="1:11" ht="15.75">
      <c r="A15" s="29" t="s">
        <v>16</v>
      </c>
      <c r="B15" s="30" t="s">
        <v>10</v>
      </c>
      <c r="C15" s="90">
        <v>19850</v>
      </c>
      <c r="D15" s="101">
        <v>20855</v>
      </c>
      <c r="E15" s="101">
        <f>'Nông nghiệp'!K13</f>
        <v>21385</v>
      </c>
      <c r="F15" s="101">
        <f>'Nông nghiệp'!L13</f>
        <v>21905</v>
      </c>
      <c r="G15" s="32"/>
      <c r="H15" s="39"/>
      <c r="I15" s="21"/>
      <c r="J15" s="101">
        <v>20855</v>
      </c>
      <c r="K15">
        <f>K14*9</f>
        <v>315637.5</v>
      </c>
    </row>
    <row r="16" spans="1:11" ht="15.75">
      <c r="A16" s="22" t="s">
        <v>17</v>
      </c>
      <c r="B16" s="23" t="s">
        <v>10</v>
      </c>
      <c r="C16" s="91">
        <v>728429.649752</v>
      </c>
      <c r="D16" s="40">
        <v>829645.00600000005</v>
      </c>
      <c r="E16" s="40">
        <f>'Thương mại -DV'!U11</f>
        <v>846951.57000000007</v>
      </c>
      <c r="F16" s="40">
        <f>'Thương mại -DV'!V11</f>
        <v>940445.16149999993</v>
      </c>
      <c r="G16" s="36"/>
      <c r="H16" s="41"/>
      <c r="I16" s="21"/>
      <c r="J16" s="40">
        <v>829645.00600000005</v>
      </c>
    </row>
    <row r="17" spans="1:11" ht="15.75">
      <c r="A17" s="22" t="s">
        <v>18</v>
      </c>
      <c r="B17" s="23" t="s">
        <v>10</v>
      </c>
      <c r="C17" s="42">
        <f>C18+C21+C25</f>
        <v>1768104.3528147168</v>
      </c>
      <c r="D17" s="42">
        <f>D18+D21+D25</f>
        <v>1967981.4572185676</v>
      </c>
      <c r="E17" s="42">
        <f>E18+E21+E25</f>
        <v>1984918.6569097438</v>
      </c>
      <c r="F17" s="42">
        <f>F18+F21+F25</f>
        <v>2205620.6616946417</v>
      </c>
      <c r="G17" s="26">
        <f>E17/C17%</f>
        <v>112.26252872178452</v>
      </c>
      <c r="H17" s="26">
        <f>E17/D17%</f>
        <v>100.86063817466626</v>
      </c>
      <c r="I17" s="27">
        <f>F17/E17%</f>
        <v>111.11894454800994</v>
      </c>
      <c r="J17" s="5">
        <v>109.10205660346718</v>
      </c>
    </row>
    <row r="18" spans="1:11" ht="15.75">
      <c r="A18" s="22" t="s">
        <v>11</v>
      </c>
      <c r="B18" s="23" t="s">
        <v>10</v>
      </c>
      <c r="C18" s="42">
        <f>C19+C20</f>
        <v>662318.932330827</v>
      </c>
      <c r="D18" s="42">
        <f>D19+D20</f>
        <v>754642.48352698039</v>
      </c>
      <c r="E18" s="42">
        <f>E19+E20</f>
        <v>764638.74643280637</v>
      </c>
      <c r="F18" s="42">
        <f>F19+F20</f>
        <v>850183.63875373011</v>
      </c>
      <c r="G18" s="26">
        <f t="shared" ref="G18:G25" si="0">E18/C18%</f>
        <v>115.44872252736252</v>
      </c>
      <c r="H18" s="26">
        <f t="shared" ref="H18:H24" si="1">E18/D18%</f>
        <v>101.3246355889091</v>
      </c>
      <c r="I18" s="454">
        <f t="shared" ref="I18:I25" si="2">F18/E18%</f>
        <v>111.18762196135206</v>
      </c>
      <c r="J18" s="5">
        <v>108.77586144121459</v>
      </c>
    </row>
    <row r="19" spans="1:11" ht="15.75">
      <c r="A19" s="29" t="s">
        <v>12</v>
      </c>
      <c r="B19" s="30" t="s">
        <v>10</v>
      </c>
      <c r="C19" s="102">
        <v>293146</v>
      </c>
      <c r="D19" s="102">
        <f>D10/1.4425</f>
        <v>356146.24292547663</v>
      </c>
      <c r="E19" s="102">
        <f>E10/1.4425</f>
        <v>358623.70883882151</v>
      </c>
      <c r="F19" s="102">
        <f>F10/1.4425</f>
        <v>403567.0974003466</v>
      </c>
      <c r="G19" s="63">
        <f t="shared" si="0"/>
        <v>122.33621091156677</v>
      </c>
      <c r="H19" s="63">
        <f t="shared" si="1"/>
        <v>100.69563162957843</v>
      </c>
      <c r="I19" s="77">
        <f t="shared" si="2"/>
        <v>112.5321855342599</v>
      </c>
      <c r="J19" s="6">
        <v>113.85140125914938</v>
      </c>
    </row>
    <row r="20" spans="1:11" ht="15.75">
      <c r="A20" s="29" t="s">
        <v>13</v>
      </c>
      <c r="B20" s="30" t="s">
        <v>10</v>
      </c>
      <c r="C20" s="100">
        <f>C11/1.33</f>
        <v>369172.93233082705</v>
      </c>
      <c r="D20" s="100">
        <f>D11/1.33</f>
        <v>398496.24060150376</v>
      </c>
      <c r="E20" s="100">
        <f>E11/1.33</f>
        <v>406015.03759398492</v>
      </c>
      <c r="F20" s="100">
        <f>F11/1.33</f>
        <v>446616.54135338345</v>
      </c>
      <c r="G20" s="63">
        <f t="shared" si="0"/>
        <v>109.97963340122199</v>
      </c>
      <c r="H20" s="63">
        <f t="shared" si="1"/>
        <v>101.88679245283018</v>
      </c>
      <c r="I20" s="77">
        <f t="shared" si="2"/>
        <v>110.00000000000001</v>
      </c>
      <c r="J20" s="6">
        <v>104.34782608695652</v>
      </c>
    </row>
    <row r="21" spans="1:11" ht="15.75">
      <c r="A21" s="22" t="s">
        <v>14</v>
      </c>
      <c r="B21" s="23" t="s">
        <v>10</v>
      </c>
      <c r="C21" s="116">
        <f>C22+C23+C24</f>
        <v>597140.67149192235</v>
      </c>
      <c r="D21" s="116">
        <f>D22+D23+D24</f>
        <v>629081.92721271398</v>
      </c>
      <c r="E21" s="116">
        <f>E22+E23+E24</f>
        <v>623835.14287130337</v>
      </c>
      <c r="F21" s="116">
        <f>F22+F23+F24</f>
        <v>683690.47901234019</v>
      </c>
      <c r="G21" s="26">
        <f t="shared" si="0"/>
        <v>104.47038238287914</v>
      </c>
      <c r="H21" s="26">
        <f t="shared" si="1"/>
        <v>99.165961679322493</v>
      </c>
      <c r="I21" s="27">
        <f t="shared" si="2"/>
        <v>109.59473617750081</v>
      </c>
      <c r="J21" s="5">
        <v>103.403360241995</v>
      </c>
      <c r="K21">
        <f>E21/D21*100</f>
        <v>99.165961679322493</v>
      </c>
    </row>
    <row r="22" spans="1:11" ht="15.75">
      <c r="A22" s="87" t="s">
        <v>69</v>
      </c>
      <c r="B22" s="76" t="s">
        <v>10</v>
      </c>
      <c r="C22" s="99">
        <v>380864.13299999991</v>
      </c>
      <c r="D22" s="31">
        <f>D13/1.36</f>
        <v>425189.85</v>
      </c>
      <c r="E22" s="31">
        <f>E13/1.36</f>
        <v>392781.77941176464</v>
      </c>
      <c r="F22" s="31">
        <f>F13/1.36</f>
        <v>395022.49999999994</v>
      </c>
      <c r="G22" s="63">
        <f t="shared" si="0"/>
        <v>103.12910704347283</v>
      </c>
      <c r="H22" s="63">
        <f>E22/D22%</f>
        <v>92.377976429062144</v>
      </c>
      <c r="I22" s="77">
        <f t="shared" si="2"/>
        <v>100.57047467720906</v>
      </c>
      <c r="J22" s="6">
        <v>105.82215282584787</v>
      </c>
    </row>
    <row r="23" spans="1:11" ht="15.75">
      <c r="A23" s="87" t="s">
        <v>15</v>
      </c>
      <c r="B23" s="76" t="s">
        <v>10</v>
      </c>
      <c r="C23" s="117">
        <f>C14/1.305</f>
        <v>203486.5900383142</v>
      </c>
      <c r="D23" s="117">
        <f>D14/1.305</f>
        <v>190459.77011494254</v>
      </c>
      <c r="E23" s="117">
        <f>E14/1.305</f>
        <v>217279.69348659005</v>
      </c>
      <c r="F23" s="117">
        <f>F14/1.305</f>
        <v>274559.38697318011</v>
      </c>
      <c r="G23" s="63">
        <f t="shared" si="0"/>
        <v>106.77838448503107</v>
      </c>
      <c r="H23" s="63">
        <f>E23/D23%</f>
        <v>114.08167370750353</v>
      </c>
      <c r="I23" s="77">
        <f t="shared" si="2"/>
        <v>126.36219361664608</v>
      </c>
      <c r="J23" s="6">
        <v>98.827833647493577</v>
      </c>
      <c r="K23" s="88"/>
    </row>
    <row r="24" spans="1:11" ht="15.75">
      <c r="A24" s="87" t="s">
        <v>16</v>
      </c>
      <c r="B24" s="76" t="s">
        <v>10</v>
      </c>
      <c r="C24" s="99">
        <v>12789.948453608247</v>
      </c>
      <c r="D24" s="31">
        <f>D15/1.5526</f>
        <v>13432.30709777148</v>
      </c>
      <c r="E24" s="31">
        <f>E15/1.5526</f>
        <v>13773.669972948603</v>
      </c>
      <c r="F24" s="31">
        <f>F15/1.5526</f>
        <v>14108.592039160119</v>
      </c>
      <c r="G24" s="63">
        <f t="shared" si="0"/>
        <v>107.69136422174424</v>
      </c>
      <c r="H24" s="63">
        <f t="shared" si="1"/>
        <v>102.54135698873174</v>
      </c>
      <c r="I24" s="77">
        <f t="shared" si="2"/>
        <v>102.43161094224925</v>
      </c>
      <c r="J24" s="6">
        <v>103.80460310004698</v>
      </c>
    </row>
    <row r="25" spans="1:11" ht="15.75">
      <c r="A25" s="22" t="s">
        <v>17</v>
      </c>
      <c r="B25" s="23" t="s">
        <v>10</v>
      </c>
      <c r="C25" s="25">
        <v>508644.74899196753</v>
      </c>
      <c r="D25" s="118">
        <f>D16/1.42</f>
        <v>584257.04647887335</v>
      </c>
      <c r="E25" s="118">
        <f>E16/1.42</f>
        <v>596444.76760563382</v>
      </c>
      <c r="F25" s="118">
        <f>F16/1.4</f>
        <v>671746.54392857139</v>
      </c>
      <c r="G25" s="26">
        <f t="shared" si="0"/>
        <v>117.26156001564321</v>
      </c>
      <c r="H25" s="26">
        <f>E25/D25%</f>
        <v>102.08602039123224</v>
      </c>
      <c r="I25" s="27">
        <f t="shared" si="2"/>
        <v>112.62510468911124</v>
      </c>
      <c r="J25" s="5">
        <v>115.62575067594345</v>
      </c>
    </row>
    <row r="26" spans="1:11" ht="15.75">
      <c r="A26" s="22" t="s">
        <v>67</v>
      </c>
      <c r="B26" s="23" t="s">
        <v>10</v>
      </c>
      <c r="C26" s="40">
        <f>C27+C30+C34</f>
        <v>1222324.3657608</v>
      </c>
      <c r="D26" s="40">
        <f>D27+D30+D34</f>
        <v>1322527.4848838602</v>
      </c>
      <c r="E26" s="40">
        <f>E27+E30+E34</f>
        <v>1333624.6017100001</v>
      </c>
      <c r="F26" s="40">
        <f>F27+F30+F34</f>
        <v>1470959.0301685</v>
      </c>
      <c r="G26" s="43"/>
      <c r="H26" s="43"/>
      <c r="I26" s="44"/>
      <c r="J26" s="1"/>
      <c r="K26" s="74">
        <v>190415.99632268446</v>
      </c>
    </row>
    <row r="27" spans="1:11" ht="15.75">
      <c r="A27" s="22" t="s">
        <v>19</v>
      </c>
      <c r="B27" s="23" t="s">
        <v>10</v>
      </c>
      <c r="C27" s="42">
        <f>C28+C29</f>
        <v>261226</v>
      </c>
      <c r="D27" s="42">
        <f>D28+D29</f>
        <v>316012.78592585999</v>
      </c>
      <c r="E27" s="42">
        <f>E28+E29</f>
        <v>303077.45970000001</v>
      </c>
      <c r="F27" s="42">
        <f>F28+F29</f>
        <v>332161.62845800002</v>
      </c>
      <c r="G27" s="43"/>
      <c r="H27" s="45"/>
      <c r="I27" s="46"/>
      <c r="J27" s="1"/>
    </row>
    <row r="28" spans="1:11" ht="15.75">
      <c r="A28" s="47" t="s">
        <v>20</v>
      </c>
      <c r="B28" s="30" t="s">
        <v>10</v>
      </c>
      <c r="C28" s="48">
        <v>150751</v>
      </c>
      <c r="D28" s="48">
        <f>D10*38.3%</f>
        <v>196762.78592585999</v>
      </c>
      <c r="E28" s="48">
        <f>E10*35.1%</f>
        <v>181577.45970000001</v>
      </c>
      <c r="F28" s="48">
        <f>F10*34.1%</f>
        <v>198511.62845799999</v>
      </c>
      <c r="G28" s="33"/>
      <c r="I28" s="410"/>
      <c r="J28" s="7"/>
      <c r="K28">
        <f>D14/K26</f>
        <v>1.3052999999999999</v>
      </c>
    </row>
    <row r="29" spans="1:11" ht="15.75">
      <c r="A29" s="47" t="s">
        <v>21</v>
      </c>
      <c r="B29" s="30" t="s">
        <v>10</v>
      </c>
      <c r="C29" s="48">
        <v>110475</v>
      </c>
      <c r="D29" s="48">
        <f>D11*22.5%</f>
        <v>119250</v>
      </c>
      <c r="E29" s="48">
        <f>E11*22.5%</f>
        <v>121500</v>
      </c>
      <c r="F29" s="48">
        <f>F11*22.5%</f>
        <v>133650</v>
      </c>
      <c r="G29" s="49"/>
      <c r="H29" s="49"/>
      <c r="I29" s="50"/>
      <c r="J29" s="7"/>
    </row>
    <row r="30" spans="1:11" ht="15.75">
      <c r="A30" s="51" t="s">
        <v>22</v>
      </c>
      <c r="B30" s="23" t="s">
        <v>10</v>
      </c>
      <c r="C30" s="52">
        <f>C31+C32+C33</f>
        <v>564753.3079896</v>
      </c>
      <c r="D30" s="52">
        <f>D31+D32+D33</f>
        <v>569291.78079600004</v>
      </c>
      <c r="E30" s="52">
        <f>E31+E32+E33</f>
        <v>584203.66461999994</v>
      </c>
      <c r="F30" s="52">
        <f>F31+F32+F33</f>
        <v>643182.80160000001</v>
      </c>
      <c r="G30" s="53"/>
      <c r="H30" s="54"/>
      <c r="I30" s="55"/>
      <c r="J30" s="1"/>
    </row>
    <row r="31" spans="1:11" ht="15.75">
      <c r="A31" s="47" t="s">
        <v>23</v>
      </c>
      <c r="B31" s="30" t="s">
        <v>10</v>
      </c>
      <c r="C31" s="92">
        <v>347043.39798959997</v>
      </c>
      <c r="D31" s="56">
        <f>D13*60.1%</f>
        <v>347533.175796</v>
      </c>
      <c r="E31" s="56">
        <f>E13*62.1%</f>
        <v>331727.77961999999</v>
      </c>
      <c r="F31" s="56">
        <f>F13*61.1%</f>
        <v>328247.89659999998</v>
      </c>
      <c r="G31" s="56"/>
      <c r="H31" s="57"/>
      <c r="I31" s="58"/>
      <c r="J31" s="7"/>
      <c r="K31">
        <f>1.23+1.1</f>
        <v>2.33</v>
      </c>
    </row>
    <row r="32" spans="1:11" ht="15.75">
      <c r="A32" s="47" t="s">
        <v>24</v>
      </c>
      <c r="B32" s="30" t="s">
        <v>10</v>
      </c>
      <c r="C32" s="92">
        <v>201818</v>
      </c>
      <c r="D32" s="48">
        <f>D14*82.5%</f>
        <v>205053.75</v>
      </c>
      <c r="E32" s="48">
        <f>E14*83%</f>
        <v>235346.5</v>
      </c>
      <c r="F32" s="48">
        <f>F14*83%</f>
        <v>297389</v>
      </c>
      <c r="G32" s="59"/>
      <c r="H32" s="59"/>
      <c r="I32" s="60"/>
      <c r="J32" s="7"/>
      <c r="K32">
        <f>K31/2</f>
        <v>1.165</v>
      </c>
    </row>
    <row r="33" spans="1:11" ht="15.75">
      <c r="A33" s="47" t="s">
        <v>25</v>
      </c>
      <c r="B33" s="30" t="s">
        <v>10</v>
      </c>
      <c r="C33" s="92">
        <v>15891.91</v>
      </c>
      <c r="D33" s="48">
        <f>D15*80.1%</f>
        <v>16704.855</v>
      </c>
      <c r="E33" s="48">
        <f>E15*80.1%</f>
        <v>17129.384999999998</v>
      </c>
      <c r="F33" s="48">
        <f>F15*80.1%</f>
        <v>17545.904999999999</v>
      </c>
      <c r="G33" s="59"/>
      <c r="H33" s="59"/>
      <c r="I33" s="60"/>
      <c r="J33" s="7"/>
    </row>
    <row r="34" spans="1:11" ht="15.75">
      <c r="A34" s="22" t="s">
        <v>26</v>
      </c>
      <c r="B34" s="23" t="s">
        <v>10</v>
      </c>
      <c r="C34" s="52">
        <v>396345.05777120002</v>
      </c>
      <c r="D34" s="52">
        <f>D16*52.7%</f>
        <v>437222.91816200007</v>
      </c>
      <c r="E34" s="52">
        <f>E16*52.7%</f>
        <v>446343.47739000007</v>
      </c>
      <c r="F34" s="52">
        <f>F16*52.7%</f>
        <v>495614.6001105</v>
      </c>
      <c r="G34" s="61"/>
      <c r="H34" s="61"/>
      <c r="I34" s="62"/>
      <c r="J34" s="1"/>
    </row>
    <row r="35" spans="1:11" ht="15.75">
      <c r="A35" s="22" t="s">
        <v>27</v>
      </c>
      <c r="B35" s="23" t="s">
        <v>10</v>
      </c>
      <c r="C35" s="455">
        <f>C26/C56/1000</f>
        <v>45.564913358711699</v>
      </c>
      <c r="D35" s="455">
        <f>D26/D56/1000</f>
        <v>48.982499440142973</v>
      </c>
      <c r="E35" s="455">
        <f>E26/E56/1000</f>
        <v>49.338683008139107</v>
      </c>
      <c r="F35" s="455">
        <f>F26/F56/1000</f>
        <v>54.379261743752309</v>
      </c>
      <c r="G35" s="63"/>
      <c r="H35" s="64"/>
      <c r="I35" s="44"/>
      <c r="J35" s="1"/>
    </row>
    <row r="36" spans="1:11" ht="15.75">
      <c r="A36" s="22" t="s">
        <v>28</v>
      </c>
      <c r="B36" s="65" t="s">
        <v>29</v>
      </c>
      <c r="C36" s="66">
        <f>SUM(C37:C39)</f>
        <v>100</v>
      </c>
      <c r="D36" s="66">
        <f>SUM(D37:D39)</f>
        <v>100</v>
      </c>
      <c r="E36" s="66">
        <f>SUM(E37:E39)</f>
        <v>100</v>
      </c>
      <c r="F36" s="66">
        <f>SUM(F37:F39)</f>
        <v>100</v>
      </c>
      <c r="G36" s="43"/>
      <c r="H36" s="64"/>
      <c r="I36" s="44"/>
      <c r="J36" s="1"/>
    </row>
    <row r="37" spans="1:11" ht="15.75">
      <c r="A37" s="67" t="s">
        <v>30</v>
      </c>
      <c r="B37" s="68" t="s">
        <v>29</v>
      </c>
      <c r="C37" s="69">
        <f>C27/C26*100</f>
        <v>21.371250325801004</v>
      </c>
      <c r="D37" s="69">
        <f>D27/D26*100</f>
        <v>23.894610096032231</v>
      </c>
      <c r="E37" s="69">
        <f>E27/E26*100</f>
        <v>22.725844987516581</v>
      </c>
      <c r="F37" s="69">
        <f>F27/F26*100</f>
        <v>22.581297075279554</v>
      </c>
      <c r="G37" s="43"/>
      <c r="H37" s="43"/>
      <c r="I37" s="44"/>
      <c r="J37" s="1"/>
    </row>
    <row r="38" spans="1:11" ht="15.75">
      <c r="A38" s="67" t="s">
        <v>31</v>
      </c>
      <c r="B38" s="68" t="s">
        <v>29</v>
      </c>
      <c r="C38" s="69">
        <f>C30/C26%</f>
        <v>46.20322754002256</v>
      </c>
      <c r="D38" s="69">
        <f>D30/D26%</f>
        <v>43.045742890250274</v>
      </c>
      <c r="E38" s="69">
        <f>E30/E26%</f>
        <v>43.805705433967127</v>
      </c>
      <c r="F38" s="69">
        <f>F30/F26%</f>
        <v>43.725405562541241</v>
      </c>
      <c r="G38" s="70"/>
      <c r="H38" s="43"/>
      <c r="I38" s="44"/>
      <c r="J38" s="1"/>
    </row>
    <row r="39" spans="1:11" ht="15.75">
      <c r="A39" s="67" t="s">
        <v>32</v>
      </c>
      <c r="B39" s="68" t="s">
        <v>29</v>
      </c>
      <c r="C39" s="69">
        <f>C34/C26%</f>
        <v>32.42552213417644</v>
      </c>
      <c r="D39" s="69">
        <f>D34/D26%</f>
        <v>33.059647013717488</v>
      </c>
      <c r="E39" s="69">
        <f>E34/E26%</f>
        <v>33.468449578516292</v>
      </c>
      <c r="F39" s="69">
        <f>F34/F26%</f>
        <v>33.693297362179202</v>
      </c>
      <c r="G39" s="43"/>
      <c r="H39" s="43"/>
      <c r="I39" s="44"/>
      <c r="J39" s="1"/>
    </row>
    <row r="40" spans="1:11" ht="15.75">
      <c r="A40" s="22" t="s">
        <v>33</v>
      </c>
      <c r="B40" s="23"/>
      <c r="C40" s="469"/>
      <c r="D40" s="469"/>
      <c r="E40" s="469"/>
      <c r="F40" s="469"/>
      <c r="G40" s="71"/>
      <c r="H40" s="64"/>
      <c r="I40" s="72"/>
      <c r="J40" s="8"/>
    </row>
    <row r="41" spans="1:11" ht="15.75">
      <c r="A41" s="22" t="s">
        <v>34</v>
      </c>
      <c r="B41" s="23" t="s">
        <v>10</v>
      </c>
      <c r="C41" s="73">
        <f>C43+C44+C45</f>
        <v>45043</v>
      </c>
      <c r="D41" s="73">
        <f>D43+D44+D45</f>
        <v>30260</v>
      </c>
      <c r="E41" s="73">
        <f>E43+E44+E45</f>
        <v>42000</v>
      </c>
      <c r="F41" s="73">
        <f>F43+F44+F45</f>
        <v>78210</v>
      </c>
      <c r="G41" s="468"/>
      <c r="H41" s="26"/>
      <c r="I41" s="27"/>
      <c r="J41" s="1"/>
      <c r="K41" s="9"/>
    </row>
    <row r="42" spans="1:11" ht="15.75">
      <c r="A42" s="47" t="s">
        <v>35</v>
      </c>
      <c r="B42" s="23"/>
      <c r="C42" s="74"/>
      <c r="D42" s="74"/>
      <c r="E42" s="74"/>
      <c r="F42" s="74"/>
      <c r="G42" s="468"/>
      <c r="H42" s="69"/>
      <c r="I42" s="75"/>
      <c r="J42" s="1"/>
    </row>
    <row r="43" spans="1:11" ht="15.75">
      <c r="A43" s="470" t="s">
        <v>36</v>
      </c>
      <c r="B43" s="76" t="s">
        <v>10</v>
      </c>
      <c r="C43" s="464">
        <v>18308</v>
      </c>
      <c r="D43" s="74">
        <v>12000</v>
      </c>
      <c r="E43" s="465">
        <v>17000</v>
      </c>
      <c r="F43" s="464">
        <v>60000</v>
      </c>
      <c r="G43" s="468"/>
      <c r="H43" s="63"/>
      <c r="I43" s="77"/>
      <c r="J43" s="1"/>
    </row>
    <row r="44" spans="1:11" ht="15.75">
      <c r="A44" s="470" t="s">
        <v>37</v>
      </c>
      <c r="B44" s="76" t="s">
        <v>10</v>
      </c>
      <c r="C44" s="464">
        <v>15455</v>
      </c>
      <c r="D44" s="74">
        <v>12000</v>
      </c>
      <c r="E44" s="465">
        <v>15300</v>
      </c>
      <c r="F44" s="464">
        <v>11500</v>
      </c>
      <c r="G44" s="468"/>
      <c r="H44" s="63"/>
      <c r="I44" s="77"/>
      <c r="J44" s="1"/>
    </row>
    <row r="45" spans="1:11" ht="15.75">
      <c r="A45" s="78" t="s">
        <v>38</v>
      </c>
      <c r="B45" s="76" t="s">
        <v>10</v>
      </c>
      <c r="C45" s="464">
        <v>11280</v>
      </c>
      <c r="D45" s="74">
        <v>6260</v>
      </c>
      <c r="E45" s="465">
        <v>9700</v>
      </c>
      <c r="F45" s="464">
        <v>6710</v>
      </c>
      <c r="G45" s="468"/>
      <c r="H45" s="63"/>
      <c r="I45" s="77"/>
      <c r="J45" s="1"/>
    </row>
    <row r="46" spans="1:11" ht="15.75">
      <c r="A46" s="22" t="s">
        <v>39</v>
      </c>
      <c r="B46" s="23" t="s">
        <v>10</v>
      </c>
      <c r="C46" s="73">
        <v>270477</v>
      </c>
      <c r="D46" s="73">
        <v>267643</v>
      </c>
      <c r="E46" s="73">
        <f>E47-E41</f>
        <v>318561</v>
      </c>
      <c r="F46" s="73">
        <v>295392</v>
      </c>
      <c r="G46" s="468"/>
      <c r="H46" s="26"/>
      <c r="I46" s="27"/>
      <c r="J46" s="1"/>
    </row>
    <row r="47" spans="1:11" ht="15.75">
      <c r="A47" s="22" t="s">
        <v>40</v>
      </c>
      <c r="B47" s="23" t="s">
        <v>10</v>
      </c>
      <c r="C47" s="466">
        <f>C48+C49</f>
        <v>296274</v>
      </c>
      <c r="D47" s="466">
        <f>D48+D49</f>
        <v>291117</v>
      </c>
      <c r="E47" s="466">
        <f>E48+E49+27182</f>
        <v>360561</v>
      </c>
      <c r="F47" s="466">
        <v>372402</v>
      </c>
      <c r="G47" s="468"/>
      <c r="H47" s="26"/>
      <c r="I47" s="27"/>
      <c r="J47" s="1"/>
    </row>
    <row r="48" spans="1:11" ht="15.75">
      <c r="A48" s="67" t="s">
        <v>41</v>
      </c>
      <c r="B48" s="76" t="s">
        <v>10</v>
      </c>
      <c r="C48" s="74">
        <v>26719</v>
      </c>
      <c r="D48" s="74">
        <v>28856</v>
      </c>
      <c r="E48" s="74">
        <v>41383</v>
      </c>
      <c r="F48" s="74">
        <v>79207</v>
      </c>
      <c r="G48" s="468"/>
      <c r="H48" s="63"/>
      <c r="I48" s="77"/>
      <c r="J48" s="1"/>
    </row>
    <row r="49" spans="1:10" ht="19.5" customHeight="1">
      <c r="A49" s="67" t="s">
        <v>42</v>
      </c>
      <c r="B49" s="76" t="s">
        <v>10</v>
      </c>
      <c r="C49" s="79">
        <v>269555</v>
      </c>
      <c r="D49" s="79">
        <v>262261</v>
      </c>
      <c r="E49" s="79">
        <v>291996</v>
      </c>
      <c r="F49" s="79">
        <v>293195</v>
      </c>
      <c r="G49" s="468"/>
      <c r="H49" s="63"/>
      <c r="I49" s="77"/>
      <c r="J49" s="1"/>
    </row>
    <row r="50" spans="1:10" ht="15.75">
      <c r="A50" s="477" t="s">
        <v>43</v>
      </c>
      <c r="B50" s="478" t="s">
        <v>10</v>
      </c>
      <c r="C50" s="479">
        <f>C51+C52+C53+C54</f>
        <v>491000</v>
      </c>
      <c r="D50" s="479">
        <f>D51+D52+D53+D54</f>
        <v>530000</v>
      </c>
      <c r="E50" s="479">
        <f>E51+E52+E53+E54</f>
        <v>540000</v>
      </c>
      <c r="F50" s="479">
        <f>F51+F52+F53+F54</f>
        <v>594000</v>
      </c>
      <c r="G50" s="468"/>
      <c r="H50" s="36"/>
      <c r="I50" s="27"/>
      <c r="J50" s="10"/>
    </row>
    <row r="51" spans="1:10" ht="15.75">
      <c r="A51" s="480" t="s">
        <v>44</v>
      </c>
      <c r="B51" s="481" t="s">
        <v>10</v>
      </c>
      <c r="C51" s="482">
        <f>'Xây dựng'!C5</f>
        <v>308000</v>
      </c>
      <c r="D51" s="482">
        <f>'Xây dựng'!D5</f>
        <v>60000</v>
      </c>
      <c r="E51" s="482">
        <f>'Xây dựng'!E5</f>
        <v>62000</v>
      </c>
      <c r="F51" s="482">
        <f>'Xây dựng'!F5</f>
        <v>69480</v>
      </c>
      <c r="G51" s="468"/>
      <c r="H51" s="63"/>
      <c r="I51" s="77"/>
      <c r="J51" s="1"/>
    </row>
    <row r="52" spans="1:10" ht="15.75">
      <c r="A52" s="480" t="s">
        <v>45</v>
      </c>
      <c r="B52" s="481" t="s">
        <v>10</v>
      </c>
      <c r="C52" s="482">
        <f>'Xây dựng'!C6</f>
        <v>40000</v>
      </c>
      <c r="D52" s="482">
        <f>'Xây dựng'!D6</f>
        <v>80000</v>
      </c>
      <c r="E52" s="482">
        <f>'Xây dựng'!E6</f>
        <v>81000</v>
      </c>
      <c r="F52" s="482">
        <f>'Xây dựng'!F6</f>
        <v>90720.000000000015</v>
      </c>
      <c r="G52" s="80"/>
      <c r="H52" s="63"/>
      <c r="I52" s="77"/>
      <c r="J52" s="1"/>
    </row>
    <row r="53" spans="1:10" ht="15.75">
      <c r="A53" s="480" t="s">
        <v>46</v>
      </c>
      <c r="B53" s="481" t="s">
        <v>10</v>
      </c>
      <c r="C53" s="482">
        <f>'Xây dựng'!C7</f>
        <v>29000</v>
      </c>
      <c r="D53" s="482">
        <f>'Xây dựng'!D7</f>
        <v>90000</v>
      </c>
      <c r="E53" s="482">
        <f>'Xây dựng'!E7</f>
        <v>90000</v>
      </c>
      <c r="F53" s="482">
        <f>'Xây dựng'!F7</f>
        <v>100800.00000000001</v>
      </c>
      <c r="G53" s="80"/>
      <c r="H53" s="63"/>
      <c r="I53" s="77"/>
      <c r="J53" s="1"/>
    </row>
    <row r="54" spans="1:10" ht="15.75">
      <c r="A54" s="480" t="s">
        <v>47</v>
      </c>
      <c r="B54" s="481" t="s">
        <v>10</v>
      </c>
      <c r="C54" s="482">
        <f>'Xây dựng'!C8</f>
        <v>114000</v>
      </c>
      <c r="D54" s="482">
        <f>'Xây dựng'!D8</f>
        <v>300000</v>
      </c>
      <c r="E54" s="482">
        <f>'Xây dựng'!E8</f>
        <v>307000</v>
      </c>
      <c r="F54" s="482">
        <f>'Xây dựng'!F8</f>
        <v>333000</v>
      </c>
      <c r="G54" s="80"/>
      <c r="H54" s="63"/>
      <c r="I54" s="77"/>
      <c r="J54" s="1"/>
    </row>
    <row r="55" spans="1:10" ht="15.75">
      <c r="A55" s="16" t="s">
        <v>48</v>
      </c>
      <c r="B55" s="76"/>
      <c r="C55" s="125"/>
      <c r="D55" s="17"/>
      <c r="E55" s="17"/>
      <c r="F55" s="125"/>
      <c r="G55" s="17"/>
      <c r="H55" s="81"/>
      <c r="I55" s="82"/>
      <c r="J55" s="1"/>
    </row>
    <row r="56" spans="1:10" ht="15.75">
      <c r="A56" s="67" t="s">
        <v>49</v>
      </c>
      <c r="B56" s="76" t="s">
        <v>50</v>
      </c>
      <c r="C56" s="115">
        <v>26.826000000000001</v>
      </c>
      <c r="D56" s="83">
        <v>27</v>
      </c>
      <c r="E56" s="83">
        <v>27.03</v>
      </c>
      <c r="F56" s="83">
        <v>27.05</v>
      </c>
      <c r="G56" s="84"/>
      <c r="H56" s="98"/>
      <c r="I56" s="93"/>
      <c r="J56" s="94"/>
    </row>
    <row r="57" spans="1:10" ht="15.75">
      <c r="A57" s="78" t="s">
        <v>51</v>
      </c>
      <c r="B57" s="76" t="s">
        <v>50</v>
      </c>
      <c r="C57" s="126">
        <v>3.7</v>
      </c>
      <c r="D57" s="83">
        <v>3.3</v>
      </c>
      <c r="E57" s="127">
        <v>3.8690000000000002</v>
      </c>
      <c r="F57" s="126">
        <v>3.98</v>
      </c>
      <c r="G57" s="84"/>
      <c r="H57" s="128"/>
      <c r="I57" s="82"/>
      <c r="J57" s="1"/>
    </row>
    <row r="58" spans="1:10" ht="15.75">
      <c r="A58" s="85" t="s">
        <v>52</v>
      </c>
      <c r="B58" s="76" t="s">
        <v>50</v>
      </c>
      <c r="C58" s="127">
        <f>C56-C57</f>
        <v>23.126000000000001</v>
      </c>
      <c r="D58" s="127">
        <f>D56-D57</f>
        <v>23.7</v>
      </c>
      <c r="E58" s="127">
        <f>E56-E57</f>
        <v>23.161000000000001</v>
      </c>
      <c r="F58" s="127">
        <f>F56-F57</f>
        <v>23.07</v>
      </c>
      <c r="G58" s="129"/>
      <c r="H58" s="128"/>
      <c r="I58" s="130"/>
      <c r="J58" s="1"/>
    </row>
    <row r="59" spans="1:10" ht="15.75">
      <c r="A59" s="67" t="s">
        <v>53</v>
      </c>
      <c r="B59" s="76" t="s">
        <v>50</v>
      </c>
      <c r="C59" s="126">
        <v>12.64</v>
      </c>
      <c r="D59" s="127">
        <v>12.65</v>
      </c>
      <c r="E59" s="127">
        <v>12.26</v>
      </c>
      <c r="F59" s="126">
        <v>12.52</v>
      </c>
      <c r="G59" s="131"/>
      <c r="H59" s="128"/>
      <c r="I59" s="82"/>
      <c r="J59" s="1"/>
    </row>
    <row r="60" spans="1:10" ht="15.75">
      <c r="A60" s="67" t="s">
        <v>54</v>
      </c>
      <c r="B60" s="76" t="s">
        <v>29</v>
      </c>
      <c r="C60" s="132">
        <f>C57/C56%</f>
        <v>13.792589279057632</v>
      </c>
      <c r="D60" s="132">
        <f>D57/D56%</f>
        <v>12.222222222222221</v>
      </c>
      <c r="E60" s="132">
        <f>E57/E56%</f>
        <v>14.313725490196081</v>
      </c>
      <c r="F60" s="132">
        <f>F57/F56%</f>
        <v>14.713493530499075</v>
      </c>
      <c r="G60" s="133"/>
      <c r="H60" s="128"/>
      <c r="I60" s="82"/>
      <c r="J60" s="1"/>
    </row>
    <row r="61" spans="1:10" ht="15.75">
      <c r="A61" s="67" t="s">
        <v>55</v>
      </c>
      <c r="B61" s="76" t="s">
        <v>56</v>
      </c>
      <c r="C61" s="79">
        <v>7067</v>
      </c>
      <c r="D61" s="79">
        <v>7145</v>
      </c>
      <c r="E61" s="79">
        <v>7153</v>
      </c>
      <c r="F61" s="79">
        <v>7160</v>
      </c>
      <c r="G61" s="39"/>
      <c r="H61" s="128"/>
      <c r="I61" s="82"/>
      <c r="J61" s="1"/>
    </row>
    <row r="62" spans="1:10" ht="18.75">
      <c r="A62" s="67" t="s">
        <v>57</v>
      </c>
      <c r="B62" s="471" t="s">
        <v>351</v>
      </c>
      <c r="C62" s="126">
        <v>13</v>
      </c>
      <c r="D62" s="457">
        <v>12.8</v>
      </c>
      <c r="E62" s="127">
        <v>8.4</v>
      </c>
      <c r="F62" s="126">
        <v>9.6</v>
      </c>
      <c r="G62" s="105"/>
      <c r="H62" s="106"/>
      <c r="I62" s="104"/>
      <c r="J62" s="1"/>
    </row>
    <row r="63" spans="1:10" ht="15.75">
      <c r="A63" s="67" t="s">
        <v>58</v>
      </c>
      <c r="B63" s="76" t="s">
        <v>59</v>
      </c>
      <c r="C63" s="79">
        <v>440</v>
      </c>
      <c r="D63" s="79">
        <v>550</v>
      </c>
      <c r="E63" s="79">
        <v>573</v>
      </c>
      <c r="F63" s="79">
        <v>550</v>
      </c>
      <c r="G63" s="107"/>
      <c r="H63" s="103"/>
      <c r="I63" s="104"/>
      <c r="J63" s="1"/>
    </row>
    <row r="64" spans="1:10" ht="28.5" customHeight="1">
      <c r="A64" s="472" t="s">
        <v>60</v>
      </c>
      <c r="B64" s="473" t="s">
        <v>61</v>
      </c>
      <c r="C64" s="79">
        <v>620</v>
      </c>
      <c r="D64" s="79">
        <v>450</v>
      </c>
      <c r="E64" s="79">
        <v>457</v>
      </c>
      <c r="F64" s="79">
        <v>450</v>
      </c>
      <c r="G64" s="108"/>
      <c r="H64" s="103"/>
      <c r="I64" s="104"/>
      <c r="J64" s="1"/>
    </row>
    <row r="65" spans="1:10" ht="15.75">
      <c r="A65" s="474" t="s">
        <v>62</v>
      </c>
      <c r="B65" s="76" t="s">
        <v>29</v>
      </c>
      <c r="C65" s="458">
        <v>8.6216596343178633</v>
      </c>
      <c r="D65" s="459">
        <v>6.0610263522884891</v>
      </c>
      <c r="E65" s="458">
        <v>6.0610263522884891</v>
      </c>
      <c r="F65" s="458">
        <v>5.2</v>
      </c>
      <c r="G65" s="109"/>
      <c r="H65" s="103"/>
      <c r="I65" s="104"/>
      <c r="J65" s="1"/>
    </row>
    <row r="66" spans="1:10" ht="15.75">
      <c r="A66" s="474" t="s">
        <v>63</v>
      </c>
      <c r="B66" s="76" t="s">
        <v>29</v>
      </c>
      <c r="C66" s="460">
        <v>9.5</v>
      </c>
      <c r="D66" s="460">
        <v>9</v>
      </c>
      <c r="E66" s="460">
        <v>9</v>
      </c>
      <c r="F66" s="460">
        <v>8.6999999999999993</v>
      </c>
      <c r="G66" s="110"/>
      <c r="H66" s="103"/>
      <c r="I66" s="104"/>
      <c r="J66" s="1"/>
    </row>
    <row r="67" spans="1:10" ht="15.75">
      <c r="A67" s="474" t="s">
        <v>64</v>
      </c>
      <c r="B67" s="76" t="s">
        <v>29</v>
      </c>
      <c r="C67" s="458">
        <v>92.89</v>
      </c>
      <c r="D67" s="458">
        <v>94</v>
      </c>
      <c r="E67" s="458">
        <v>94</v>
      </c>
      <c r="F67" s="458">
        <v>94.7</v>
      </c>
      <c r="G67" s="110"/>
      <c r="H67" s="103"/>
      <c r="I67" s="104"/>
      <c r="J67" s="1"/>
    </row>
    <row r="68" spans="1:10" ht="15.75">
      <c r="A68" s="67" t="s">
        <v>352</v>
      </c>
      <c r="B68" s="76" t="s">
        <v>29</v>
      </c>
      <c r="C68" s="461">
        <v>79.400000000000006</v>
      </c>
      <c r="D68" s="461">
        <v>89.7</v>
      </c>
      <c r="E68" s="467">
        <v>91.11</v>
      </c>
      <c r="F68" s="461">
        <v>95</v>
      </c>
      <c r="G68" s="111"/>
      <c r="H68" s="103"/>
      <c r="I68" s="104"/>
      <c r="J68" s="1"/>
    </row>
    <row r="69" spans="1:10" ht="15.75">
      <c r="A69" s="475" t="s">
        <v>65</v>
      </c>
      <c r="B69" s="76" t="s">
        <v>29</v>
      </c>
      <c r="C69" s="462">
        <v>96.2</v>
      </c>
      <c r="D69" s="462">
        <v>97</v>
      </c>
      <c r="E69" s="462">
        <v>98.3</v>
      </c>
      <c r="F69" s="462">
        <v>98.5</v>
      </c>
      <c r="G69" s="111"/>
      <c r="H69" s="103"/>
      <c r="I69" s="104"/>
      <c r="J69" s="1"/>
    </row>
    <row r="70" spans="1:10" ht="15.75">
      <c r="A70" s="67" t="s">
        <v>66</v>
      </c>
      <c r="B70" s="76" t="s">
        <v>29</v>
      </c>
      <c r="C70" s="461">
        <v>83.4</v>
      </c>
      <c r="D70" s="461">
        <v>83.4</v>
      </c>
      <c r="E70" s="461">
        <v>83.4</v>
      </c>
      <c r="F70" s="461">
        <v>83.4</v>
      </c>
      <c r="G70" s="111"/>
      <c r="H70" s="103"/>
      <c r="I70" s="104"/>
      <c r="J70" s="1"/>
    </row>
    <row r="71" spans="1:10" ht="41.25" customHeight="1" thickBot="1">
      <c r="A71" s="476" t="s">
        <v>68</v>
      </c>
      <c r="B71" s="124" t="s">
        <v>29</v>
      </c>
      <c r="C71" s="463">
        <v>23</v>
      </c>
      <c r="D71" s="463" t="s">
        <v>348</v>
      </c>
      <c r="E71" s="463">
        <v>26.3</v>
      </c>
      <c r="F71" s="463" t="s">
        <v>349</v>
      </c>
      <c r="G71" s="112"/>
      <c r="H71" s="113"/>
      <c r="I71" s="114"/>
    </row>
    <row r="72" spans="1:10" ht="15" thickTop="1"/>
  </sheetData>
  <mergeCells count="9">
    <mergeCell ref="A1:I1"/>
    <mergeCell ref="A2:I2"/>
    <mergeCell ref="A3:I3"/>
    <mergeCell ref="A4:A5"/>
    <mergeCell ref="B4:B5"/>
    <mergeCell ref="G4:I4"/>
    <mergeCell ref="C4:C5"/>
    <mergeCell ref="D4:E4"/>
    <mergeCell ref="F4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11"/>
  <sheetViews>
    <sheetView topLeftCell="A13" workbookViewId="0">
      <selection activeCell="K24" sqref="K24:L24"/>
    </sheetView>
  </sheetViews>
  <sheetFormatPr defaultRowHeight="15.75"/>
  <cols>
    <col min="1" max="1" width="8.25" style="151" customWidth="1"/>
    <col min="2" max="2" width="37.375" style="137" customWidth="1"/>
    <col min="3" max="3" width="12.375" style="138" customWidth="1"/>
    <col min="4" max="4" width="11.875" style="138" hidden="1" customWidth="1"/>
    <col min="5" max="6" width="11.25" style="141" hidden="1" customWidth="1"/>
    <col min="7" max="8" width="11.625" style="141" hidden="1" customWidth="1"/>
    <col min="9" max="9" width="12.625" style="152" customWidth="1"/>
    <col min="10" max="10" width="14" style="141" bestFit="1" customWidth="1"/>
    <col min="11" max="11" width="11.875" style="141" bestFit="1" customWidth="1"/>
    <col min="12" max="29" width="11.625" style="141" customWidth="1"/>
    <col min="30" max="32" width="16.75" style="141" customWidth="1"/>
    <col min="33" max="33" width="11.875" style="141" bestFit="1" customWidth="1"/>
    <col min="34" max="34" width="13.125" style="141" bestFit="1" customWidth="1"/>
    <col min="35" max="262" width="9.125" style="141"/>
    <col min="263" max="263" width="8.25" style="141" customWidth="1"/>
    <col min="264" max="264" width="37.375" style="141" customWidth="1"/>
    <col min="265" max="265" width="12.375" style="141" customWidth="1"/>
    <col min="266" max="270" width="0" style="141" hidden="1" customWidth="1"/>
    <col min="271" max="271" width="16.875" style="141" customWidth="1"/>
    <col min="272" max="272" width="13.125" style="141" bestFit="1" customWidth="1"/>
    <col min="273" max="273" width="11.625" style="141" bestFit="1" customWidth="1"/>
    <col min="274" max="276" width="0" style="141" hidden="1" customWidth="1"/>
    <col min="277" max="518" width="9.125" style="141"/>
    <col min="519" max="519" width="8.25" style="141" customWidth="1"/>
    <col min="520" max="520" width="37.375" style="141" customWidth="1"/>
    <col min="521" max="521" width="12.375" style="141" customWidth="1"/>
    <col min="522" max="526" width="0" style="141" hidden="1" customWidth="1"/>
    <col min="527" max="527" width="16.875" style="141" customWidth="1"/>
    <col min="528" max="528" width="13.125" style="141" bestFit="1" customWidth="1"/>
    <col min="529" max="529" width="11.625" style="141" bestFit="1" customWidth="1"/>
    <col min="530" max="532" width="0" style="141" hidden="1" customWidth="1"/>
    <col min="533" max="774" width="9.125" style="141"/>
    <col min="775" max="775" width="8.25" style="141" customWidth="1"/>
    <col min="776" max="776" width="37.375" style="141" customWidth="1"/>
    <col min="777" max="777" width="12.375" style="141" customWidth="1"/>
    <col min="778" max="782" width="0" style="141" hidden="1" customWidth="1"/>
    <col min="783" max="783" width="16.875" style="141" customWidth="1"/>
    <col min="784" max="784" width="13.125" style="141" bestFit="1" customWidth="1"/>
    <col min="785" max="785" width="11.625" style="141" bestFit="1" customWidth="1"/>
    <col min="786" max="788" width="0" style="141" hidden="1" customWidth="1"/>
    <col min="789" max="1030" width="9.125" style="141"/>
    <col min="1031" max="1031" width="8.25" style="141" customWidth="1"/>
    <col min="1032" max="1032" width="37.375" style="141" customWidth="1"/>
    <col min="1033" max="1033" width="12.375" style="141" customWidth="1"/>
    <col min="1034" max="1038" width="0" style="141" hidden="1" customWidth="1"/>
    <col min="1039" max="1039" width="16.875" style="141" customWidth="1"/>
    <col min="1040" max="1040" width="13.125" style="141" bestFit="1" customWidth="1"/>
    <col min="1041" max="1041" width="11.625" style="141" bestFit="1" customWidth="1"/>
    <col min="1042" max="1044" width="0" style="141" hidden="1" customWidth="1"/>
    <col min="1045" max="1286" width="9.125" style="141"/>
    <col min="1287" max="1287" width="8.25" style="141" customWidth="1"/>
    <col min="1288" max="1288" width="37.375" style="141" customWidth="1"/>
    <col min="1289" max="1289" width="12.375" style="141" customWidth="1"/>
    <col min="1290" max="1294" width="0" style="141" hidden="1" customWidth="1"/>
    <col min="1295" max="1295" width="16.875" style="141" customWidth="1"/>
    <col min="1296" max="1296" width="13.125" style="141" bestFit="1" customWidth="1"/>
    <col min="1297" max="1297" width="11.625" style="141" bestFit="1" customWidth="1"/>
    <col min="1298" max="1300" width="0" style="141" hidden="1" customWidth="1"/>
    <col min="1301" max="1542" width="9.125" style="141"/>
    <col min="1543" max="1543" width="8.25" style="141" customWidth="1"/>
    <col min="1544" max="1544" width="37.375" style="141" customWidth="1"/>
    <col min="1545" max="1545" width="12.375" style="141" customWidth="1"/>
    <col min="1546" max="1550" width="0" style="141" hidden="1" customWidth="1"/>
    <col min="1551" max="1551" width="16.875" style="141" customWidth="1"/>
    <col min="1552" max="1552" width="13.125" style="141" bestFit="1" customWidth="1"/>
    <col min="1553" max="1553" width="11.625" style="141" bestFit="1" customWidth="1"/>
    <col min="1554" max="1556" width="0" style="141" hidden="1" customWidth="1"/>
    <col min="1557" max="1798" width="9.125" style="141"/>
    <col min="1799" max="1799" width="8.25" style="141" customWidth="1"/>
    <col min="1800" max="1800" width="37.375" style="141" customWidth="1"/>
    <col min="1801" max="1801" width="12.375" style="141" customWidth="1"/>
    <col min="1802" max="1806" width="0" style="141" hidden="1" customWidth="1"/>
    <col min="1807" max="1807" width="16.875" style="141" customWidth="1"/>
    <col min="1808" max="1808" width="13.125" style="141" bestFit="1" customWidth="1"/>
    <col min="1809" max="1809" width="11.625" style="141" bestFit="1" customWidth="1"/>
    <col min="1810" max="1812" width="0" style="141" hidden="1" customWidth="1"/>
    <col min="1813" max="2054" width="9.125" style="141"/>
    <col min="2055" max="2055" width="8.25" style="141" customWidth="1"/>
    <col min="2056" max="2056" width="37.375" style="141" customWidth="1"/>
    <col min="2057" max="2057" width="12.375" style="141" customWidth="1"/>
    <col min="2058" max="2062" width="0" style="141" hidden="1" customWidth="1"/>
    <col min="2063" max="2063" width="16.875" style="141" customWidth="1"/>
    <col min="2064" max="2064" width="13.125" style="141" bestFit="1" customWidth="1"/>
    <col min="2065" max="2065" width="11.625" style="141" bestFit="1" customWidth="1"/>
    <col min="2066" max="2068" width="0" style="141" hidden="1" customWidth="1"/>
    <col min="2069" max="2310" width="9.125" style="141"/>
    <col min="2311" max="2311" width="8.25" style="141" customWidth="1"/>
    <col min="2312" max="2312" width="37.375" style="141" customWidth="1"/>
    <col min="2313" max="2313" width="12.375" style="141" customWidth="1"/>
    <col min="2314" max="2318" width="0" style="141" hidden="1" customWidth="1"/>
    <col min="2319" max="2319" width="16.875" style="141" customWidth="1"/>
    <col min="2320" max="2320" width="13.125" style="141" bestFit="1" customWidth="1"/>
    <col min="2321" max="2321" width="11.625" style="141" bestFit="1" customWidth="1"/>
    <col min="2322" max="2324" width="0" style="141" hidden="1" customWidth="1"/>
    <col min="2325" max="2566" width="9.125" style="141"/>
    <col min="2567" max="2567" width="8.25" style="141" customWidth="1"/>
    <col min="2568" max="2568" width="37.375" style="141" customWidth="1"/>
    <col min="2569" max="2569" width="12.375" style="141" customWidth="1"/>
    <col min="2570" max="2574" width="0" style="141" hidden="1" customWidth="1"/>
    <col min="2575" max="2575" width="16.875" style="141" customWidth="1"/>
    <col min="2576" max="2576" width="13.125" style="141" bestFit="1" customWidth="1"/>
    <col min="2577" max="2577" width="11.625" style="141" bestFit="1" customWidth="1"/>
    <col min="2578" max="2580" width="0" style="141" hidden="1" customWidth="1"/>
    <col min="2581" max="2822" width="9.125" style="141"/>
    <col min="2823" max="2823" width="8.25" style="141" customWidth="1"/>
    <col min="2824" max="2824" width="37.375" style="141" customWidth="1"/>
    <col min="2825" max="2825" width="12.375" style="141" customWidth="1"/>
    <col min="2826" max="2830" width="0" style="141" hidden="1" customWidth="1"/>
    <col min="2831" max="2831" width="16.875" style="141" customWidth="1"/>
    <col min="2832" max="2832" width="13.125" style="141" bestFit="1" customWidth="1"/>
    <col min="2833" max="2833" width="11.625" style="141" bestFit="1" customWidth="1"/>
    <col min="2834" max="2836" width="0" style="141" hidden="1" customWidth="1"/>
    <col min="2837" max="3078" width="9.125" style="141"/>
    <col min="3079" max="3079" width="8.25" style="141" customWidth="1"/>
    <col min="3080" max="3080" width="37.375" style="141" customWidth="1"/>
    <col min="3081" max="3081" width="12.375" style="141" customWidth="1"/>
    <col min="3082" max="3086" width="0" style="141" hidden="1" customWidth="1"/>
    <col min="3087" max="3087" width="16.875" style="141" customWidth="1"/>
    <col min="3088" max="3088" width="13.125" style="141" bestFit="1" customWidth="1"/>
    <col min="3089" max="3089" width="11.625" style="141" bestFit="1" customWidth="1"/>
    <col min="3090" max="3092" width="0" style="141" hidden="1" customWidth="1"/>
    <col min="3093" max="3334" width="9.125" style="141"/>
    <col min="3335" max="3335" width="8.25" style="141" customWidth="1"/>
    <col min="3336" max="3336" width="37.375" style="141" customWidth="1"/>
    <col min="3337" max="3337" width="12.375" style="141" customWidth="1"/>
    <col min="3338" max="3342" width="0" style="141" hidden="1" customWidth="1"/>
    <col min="3343" max="3343" width="16.875" style="141" customWidth="1"/>
    <col min="3344" max="3344" width="13.125" style="141" bestFit="1" customWidth="1"/>
    <col min="3345" max="3345" width="11.625" style="141" bestFit="1" customWidth="1"/>
    <col min="3346" max="3348" width="0" style="141" hidden="1" customWidth="1"/>
    <col min="3349" max="3590" width="9.125" style="141"/>
    <col min="3591" max="3591" width="8.25" style="141" customWidth="1"/>
    <col min="3592" max="3592" width="37.375" style="141" customWidth="1"/>
    <col min="3593" max="3593" width="12.375" style="141" customWidth="1"/>
    <col min="3594" max="3598" width="0" style="141" hidden="1" customWidth="1"/>
    <col min="3599" max="3599" width="16.875" style="141" customWidth="1"/>
    <col min="3600" max="3600" width="13.125" style="141" bestFit="1" customWidth="1"/>
    <col min="3601" max="3601" width="11.625" style="141" bestFit="1" customWidth="1"/>
    <col min="3602" max="3604" width="0" style="141" hidden="1" customWidth="1"/>
    <col min="3605" max="3846" width="9.125" style="141"/>
    <col min="3847" max="3847" width="8.25" style="141" customWidth="1"/>
    <col min="3848" max="3848" width="37.375" style="141" customWidth="1"/>
    <col min="3849" max="3849" width="12.375" style="141" customWidth="1"/>
    <col min="3850" max="3854" width="0" style="141" hidden="1" customWidth="1"/>
    <col min="3855" max="3855" width="16.875" style="141" customWidth="1"/>
    <col min="3856" max="3856" width="13.125" style="141" bestFit="1" customWidth="1"/>
    <col min="3857" max="3857" width="11.625" style="141" bestFit="1" customWidth="1"/>
    <col min="3858" max="3860" width="0" style="141" hidden="1" customWidth="1"/>
    <col min="3861" max="4102" width="9.125" style="141"/>
    <col min="4103" max="4103" width="8.25" style="141" customWidth="1"/>
    <col min="4104" max="4104" width="37.375" style="141" customWidth="1"/>
    <col min="4105" max="4105" width="12.375" style="141" customWidth="1"/>
    <col min="4106" max="4110" width="0" style="141" hidden="1" customWidth="1"/>
    <col min="4111" max="4111" width="16.875" style="141" customWidth="1"/>
    <col min="4112" max="4112" width="13.125" style="141" bestFit="1" customWidth="1"/>
    <col min="4113" max="4113" width="11.625" style="141" bestFit="1" customWidth="1"/>
    <col min="4114" max="4116" width="0" style="141" hidden="1" customWidth="1"/>
    <col min="4117" max="4358" width="9.125" style="141"/>
    <col min="4359" max="4359" width="8.25" style="141" customWidth="1"/>
    <col min="4360" max="4360" width="37.375" style="141" customWidth="1"/>
    <col min="4361" max="4361" width="12.375" style="141" customWidth="1"/>
    <col min="4362" max="4366" width="0" style="141" hidden="1" customWidth="1"/>
    <col min="4367" max="4367" width="16.875" style="141" customWidth="1"/>
    <col min="4368" max="4368" width="13.125" style="141" bestFit="1" customWidth="1"/>
    <col min="4369" max="4369" width="11.625" style="141" bestFit="1" customWidth="1"/>
    <col min="4370" max="4372" width="0" style="141" hidden="1" customWidth="1"/>
    <col min="4373" max="4614" width="9.125" style="141"/>
    <col min="4615" max="4615" width="8.25" style="141" customWidth="1"/>
    <col min="4616" max="4616" width="37.375" style="141" customWidth="1"/>
    <col min="4617" max="4617" width="12.375" style="141" customWidth="1"/>
    <col min="4618" max="4622" width="0" style="141" hidden="1" customWidth="1"/>
    <col min="4623" max="4623" width="16.875" style="141" customWidth="1"/>
    <col min="4624" max="4624" width="13.125" style="141" bestFit="1" customWidth="1"/>
    <col min="4625" max="4625" width="11.625" style="141" bestFit="1" customWidth="1"/>
    <col min="4626" max="4628" width="0" style="141" hidden="1" customWidth="1"/>
    <col min="4629" max="4870" width="9.125" style="141"/>
    <col min="4871" max="4871" width="8.25" style="141" customWidth="1"/>
    <col min="4872" max="4872" width="37.375" style="141" customWidth="1"/>
    <col min="4873" max="4873" width="12.375" style="141" customWidth="1"/>
    <col min="4874" max="4878" width="0" style="141" hidden="1" customWidth="1"/>
    <col min="4879" max="4879" width="16.875" style="141" customWidth="1"/>
    <col min="4880" max="4880" width="13.125" style="141" bestFit="1" customWidth="1"/>
    <col min="4881" max="4881" width="11.625" style="141" bestFit="1" customWidth="1"/>
    <col min="4882" max="4884" width="0" style="141" hidden="1" customWidth="1"/>
    <col min="4885" max="5126" width="9.125" style="141"/>
    <col min="5127" max="5127" width="8.25" style="141" customWidth="1"/>
    <col min="5128" max="5128" width="37.375" style="141" customWidth="1"/>
    <col min="5129" max="5129" width="12.375" style="141" customWidth="1"/>
    <col min="5130" max="5134" width="0" style="141" hidden="1" customWidth="1"/>
    <col min="5135" max="5135" width="16.875" style="141" customWidth="1"/>
    <col min="5136" max="5136" width="13.125" style="141" bestFit="1" customWidth="1"/>
    <col min="5137" max="5137" width="11.625" style="141" bestFit="1" customWidth="1"/>
    <col min="5138" max="5140" width="0" style="141" hidden="1" customWidth="1"/>
    <col min="5141" max="5382" width="9.125" style="141"/>
    <col min="5383" max="5383" width="8.25" style="141" customWidth="1"/>
    <col min="5384" max="5384" width="37.375" style="141" customWidth="1"/>
    <col min="5385" max="5385" width="12.375" style="141" customWidth="1"/>
    <col min="5386" max="5390" width="0" style="141" hidden="1" customWidth="1"/>
    <col min="5391" max="5391" width="16.875" style="141" customWidth="1"/>
    <col min="5392" max="5392" width="13.125" style="141" bestFit="1" customWidth="1"/>
    <col min="5393" max="5393" width="11.625" style="141" bestFit="1" customWidth="1"/>
    <col min="5394" max="5396" width="0" style="141" hidden="1" customWidth="1"/>
    <col min="5397" max="5638" width="9.125" style="141"/>
    <col min="5639" max="5639" width="8.25" style="141" customWidth="1"/>
    <col min="5640" max="5640" width="37.375" style="141" customWidth="1"/>
    <col min="5641" max="5641" width="12.375" style="141" customWidth="1"/>
    <col min="5642" max="5646" width="0" style="141" hidden="1" customWidth="1"/>
    <col min="5647" max="5647" width="16.875" style="141" customWidth="1"/>
    <col min="5648" max="5648" width="13.125" style="141" bestFit="1" customWidth="1"/>
    <col min="5649" max="5649" width="11.625" style="141" bestFit="1" customWidth="1"/>
    <col min="5650" max="5652" width="0" style="141" hidden="1" customWidth="1"/>
    <col min="5653" max="5894" width="9.125" style="141"/>
    <col min="5895" max="5895" width="8.25" style="141" customWidth="1"/>
    <col min="5896" max="5896" width="37.375" style="141" customWidth="1"/>
    <col min="5897" max="5897" width="12.375" style="141" customWidth="1"/>
    <col min="5898" max="5902" width="0" style="141" hidden="1" customWidth="1"/>
    <col min="5903" max="5903" width="16.875" style="141" customWidth="1"/>
    <col min="5904" max="5904" width="13.125" style="141" bestFit="1" customWidth="1"/>
    <col min="5905" max="5905" width="11.625" style="141" bestFit="1" customWidth="1"/>
    <col min="5906" max="5908" width="0" style="141" hidden="1" customWidth="1"/>
    <col min="5909" max="6150" width="9.125" style="141"/>
    <col min="6151" max="6151" width="8.25" style="141" customWidth="1"/>
    <col min="6152" max="6152" width="37.375" style="141" customWidth="1"/>
    <col min="6153" max="6153" width="12.375" style="141" customWidth="1"/>
    <col min="6154" max="6158" width="0" style="141" hidden="1" customWidth="1"/>
    <col min="6159" max="6159" width="16.875" style="141" customWidth="1"/>
    <col min="6160" max="6160" width="13.125" style="141" bestFit="1" customWidth="1"/>
    <col min="6161" max="6161" width="11.625" style="141" bestFit="1" customWidth="1"/>
    <col min="6162" max="6164" width="0" style="141" hidden="1" customWidth="1"/>
    <col min="6165" max="6406" width="9.125" style="141"/>
    <col min="6407" max="6407" width="8.25" style="141" customWidth="1"/>
    <col min="6408" max="6408" width="37.375" style="141" customWidth="1"/>
    <col min="6409" max="6409" width="12.375" style="141" customWidth="1"/>
    <col min="6410" max="6414" width="0" style="141" hidden="1" customWidth="1"/>
    <col min="6415" max="6415" width="16.875" style="141" customWidth="1"/>
    <col min="6416" max="6416" width="13.125" style="141" bestFit="1" customWidth="1"/>
    <col min="6417" max="6417" width="11.625" style="141" bestFit="1" customWidth="1"/>
    <col min="6418" max="6420" width="0" style="141" hidden="1" customWidth="1"/>
    <col min="6421" max="6662" width="9.125" style="141"/>
    <col min="6663" max="6663" width="8.25" style="141" customWidth="1"/>
    <col min="6664" max="6664" width="37.375" style="141" customWidth="1"/>
    <col min="6665" max="6665" width="12.375" style="141" customWidth="1"/>
    <col min="6666" max="6670" width="0" style="141" hidden="1" customWidth="1"/>
    <col min="6671" max="6671" width="16.875" style="141" customWidth="1"/>
    <col min="6672" max="6672" width="13.125" style="141" bestFit="1" customWidth="1"/>
    <col min="6673" max="6673" width="11.625" style="141" bestFit="1" customWidth="1"/>
    <col min="6674" max="6676" width="0" style="141" hidden="1" customWidth="1"/>
    <col min="6677" max="6918" width="9.125" style="141"/>
    <col min="6919" max="6919" width="8.25" style="141" customWidth="1"/>
    <col min="6920" max="6920" width="37.375" style="141" customWidth="1"/>
    <col min="6921" max="6921" width="12.375" style="141" customWidth="1"/>
    <col min="6922" max="6926" width="0" style="141" hidden="1" customWidth="1"/>
    <col min="6927" max="6927" width="16.875" style="141" customWidth="1"/>
    <col min="6928" max="6928" width="13.125" style="141" bestFit="1" customWidth="1"/>
    <col min="6929" max="6929" width="11.625" style="141" bestFit="1" customWidth="1"/>
    <col min="6930" max="6932" width="0" style="141" hidden="1" customWidth="1"/>
    <col min="6933" max="7174" width="9.125" style="141"/>
    <col min="7175" max="7175" width="8.25" style="141" customWidth="1"/>
    <col min="7176" max="7176" width="37.375" style="141" customWidth="1"/>
    <col min="7177" max="7177" width="12.375" style="141" customWidth="1"/>
    <col min="7178" max="7182" width="0" style="141" hidden="1" customWidth="1"/>
    <col min="7183" max="7183" width="16.875" style="141" customWidth="1"/>
    <col min="7184" max="7184" width="13.125" style="141" bestFit="1" customWidth="1"/>
    <col min="7185" max="7185" width="11.625" style="141" bestFit="1" customWidth="1"/>
    <col min="7186" max="7188" width="0" style="141" hidden="1" customWidth="1"/>
    <col min="7189" max="7430" width="9.125" style="141"/>
    <col min="7431" max="7431" width="8.25" style="141" customWidth="1"/>
    <col min="7432" max="7432" width="37.375" style="141" customWidth="1"/>
    <col min="7433" max="7433" width="12.375" style="141" customWidth="1"/>
    <col min="7434" max="7438" width="0" style="141" hidden="1" customWidth="1"/>
    <col min="7439" max="7439" width="16.875" style="141" customWidth="1"/>
    <col min="7440" max="7440" width="13.125" style="141" bestFit="1" customWidth="1"/>
    <col min="7441" max="7441" width="11.625" style="141" bestFit="1" customWidth="1"/>
    <col min="7442" max="7444" width="0" style="141" hidden="1" customWidth="1"/>
    <col min="7445" max="7686" width="9.125" style="141"/>
    <col min="7687" max="7687" width="8.25" style="141" customWidth="1"/>
    <col min="7688" max="7688" width="37.375" style="141" customWidth="1"/>
    <col min="7689" max="7689" width="12.375" style="141" customWidth="1"/>
    <col min="7690" max="7694" width="0" style="141" hidden="1" customWidth="1"/>
    <col min="7695" max="7695" width="16.875" style="141" customWidth="1"/>
    <col min="7696" max="7696" width="13.125" style="141" bestFit="1" customWidth="1"/>
    <col min="7697" max="7697" width="11.625" style="141" bestFit="1" customWidth="1"/>
    <col min="7698" max="7700" width="0" style="141" hidden="1" customWidth="1"/>
    <col min="7701" max="7942" width="9.125" style="141"/>
    <col min="7943" max="7943" width="8.25" style="141" customWidth="1"/>
    <col min="7944" max="7944" width="37.375" style="141" customWidth="1"/>
    <col min="7945" max="7945" width="12.375" style="141" customWidth="1"/>
    <col min="7946" max="7950" width="0" style="141" hidden="1" customWidth="1"/>
    <col min="7951" max="7951" width="16.875" style="141" customWidth="1"/>
    <col min="7952" max="7952" width="13.125" style="141" bestFit="1" customWidth="1"/>
    <col min="7953" max="7953" width="11.625" style="141" bestFit="1" customWidth="1"/>
    <col min="7954" max="7956" width="0" style="141" hidden="1" customWidth="1"/>
    <col min="7957" max="8198" width="9.125" style="141"/>
    <col min="8199" max="8199" width="8.25" style="141" customWidth="1"/>
    <col min="8200" max="8200" width="37.375" style="141" customWidth="1"/>
    <col min="8201" max="8201" width="12.375" style="141" customWidth="1"/>
    <col min="8202" max="8206" width="0" style="141" hidden="1" customWidth="1"/>
    <col min="8207" max="8207" width="16.875" style="141" customWidth="1"/>
    <col min="8208" max="8208" width="13.125" style="141" bestFit="1" customWidth="1"/>
    <col min="8209" max="8209" width="11.625" style="141" bestFit="1" customWidth="1"/>
    <col min="8210" max="8212" width="0" style="141" hidden="1" customWidth="1"/>
    <col min="8213" max="8454" width="9.125" style="141"/>
    <col min="8455" max="8455" width="8.25" style="141" customWidth="1"/>
    <col min="8456" max="8456" width="37.375" style="141" customWidth="1"/>
    <col min="8457" max="8457" width="12.375" style="141" customWidth="1"/>
    <col min="8458" max="8462" width="0" style="141" hidden="1" customWidth="1"/>
    <col min="8463" max="8463" width="16.875" style="141" customWidth="1"/>
    <col min="8464" max="8464" width="13.125" style="141" bestFit="1" customWidth="1"/>
    <col min="8465" max="8465" width="11.625" style="141" bestFit="1" customWidth="1"/>
    <col min="8466" max="8468" width="0" style="141" hidden="1" customWidth="1"/>
    <col min="8469" max="8710" width="9.125" style="141"/>
    <col min="8711" max="8711" width="8.25" style="141" customWidth="1"/>
    <col min="8712" max="8712" width="37.375" style="141" customWidth="1"/>
    <col min="8713" max="8713" width="12.375" style="141" customWidth="1"/>
    <col min="8714" max="8718" width="0" style="141" hidden="1" customWidth="1"/>
    <col min="8719" max="8719" width="16.875" style="141" customWidth="1"/>
    <col min="8720" max="8720" width="13.125" style="141" bestFit="1" customWidth="1"/>
    <col min="8721" max="8721" width="11.625" style="141" bestFit="1" customWidth="1"/>
    <col min="8722" max="8724" width="0" style="141" hidden="1" customWidth="1"/>
    <col min="8725" max="8966" width="9.125" style="141"/>
    <col min="8967" max="8967" width="8.25" style="141" customWidth="1"/>
    <col min="8968" max="8968" width="37.375" style="141" customWidth="1"/>
    <col min="8969" max="8969" width="12.375" style="141" customWidth="1"/>
    <col min="8970" max="8974" width="0" style="141" hidden="1" customWidth="1"/>
    <col min="8975" max="8975" width="16.875" style="141" customWidth="1"/>
    <col min="8976" max="8976" width="13.125" style="141" bestFit="1" customWidth="1"/>
    <col min="8977" max="8977" width="11.625" style="141" bestFit="1" customWidth="1"/>
    <col min="8978" max="8980" width="0" style="141" hidden="1" customWidth="1"/>
    <col min="8981" max="9222" width="9.125" style="141"/>
    <col min="9223" max="9223" width="8.25" style="141" customWidth="1"/>
    <col min="9224" max="9224" width="37.375" style="141" customWidth="1"/>
    <col min="9225" max="9225" width="12.375" style="141" customWidth="1"/>
    <col min="9226" max="9230" width="0" style="141" hidden="1" customWidth="1"/>
    <col min="9231" max="9231" width="16.875" style="141" customWidth="1"/>
    <col min="9232" max="9232" width="13.125" style="141" bestFit="1" customWidth="1"/>
    <col min="9233" max="9233" width="11.625" style="141" bestFit="1" customWidth="1"/>
    <col min="9234" max="9236" width="0" style="141" hidden="1" customWidth="1"/>
    <col min="9237" max="9478" width="9.125" style="141"/>
    <col min="9479" max="9479" width="8.25" style="141" customWidth="1"/>
    <col min="9480" max="9480" width="37.375" style="141" customWidth="1"/>
    <col min="9481" max="9481" width="12.375" style="141" customWidth="1"/>
    <col min="9482" max="9486" width="0" style="141" hidden="1" customWidth="1"/>
    <col min="9487" max="9487" width="16.875" style="141" customWidth="1"/>
    <col min="9488" max="9488" width="13.125" style="141" bestFit="1" customWidth="1"/>
    <col min="9489" max="9489" width="11.625" style="141" bestFit="1" customWidth="1"/>
    <col min="9490" max="9492" width="0" style="141" hidden="1" customWidth="1"/>
    <col min="9493" max="9734" width="9.125" style="141"/>
    <col min="9735" max="9735" width="8.25" style="141" customWidth="1"/>
    <col min="9736" max="9736" width="37.375" style="141" customWidth="1"/>
    <col min="9737" max="9737" width="12.375" style="141" customWidth="1"/>
    <col min="9738" max="9742" width="0" style="141" hidden="1" customWidth="1"/>
    <col min="9743" max="9743" width="16.875" style="141" customWidth="1"/>
    <col min="9744" max="9744" width="13.125" style="141" bestFit="1" customWidth="1"/>
    <col min="9745" max="9745" width="11.625" style="141" bestFit="1" customWidth="1"/>
    <col min="9746" max="9748" width="0" style="141" hidden="1" customWidth="1"/>
    <col min="9749" max="9990" width="9.125" style="141"/>
    <col min="9991" max="9991" width="8.25" style="141" customWidth="1"/>
    <col min="9992" max="9992" width="37.375" style="141" customWidth="1"/>
    <col min="9993" max="9993" width="12.375" style="141" customWidth="1"/>
    <col min="9994" max="9998" width="0" style="141" hidden="1" customWidth="1"/>
    <col min="9999" max="9999" width="16.875" style="141" customWidth="1"/>
    <col min="10000" max="10000" width="13.125" style="141" bestFit="1" customWidth="1"/>
    <col min="10001" max="10001" width="11.625" style="141" bestFit="1" customWidth="1"/>
    <col min="10002" max="10004" width="0" style="141" hidden="1" customWidth="1"/>
    <col min="10005" max="10246" width="9.125" style="141"/>
    <col min="10247" max="10247" width="8.25" style="141" customWidth="1"/>
    <col min="10248" max="10248" width="37.375" style="141" customWidth="1"/>
    <col min="10249" max="10249" width="12.375" style="141" customWidth="1"/>
    <col min="10250" max="10254" width="0" style="141" hidden="1" customWidth="1"/>
    <col min="10255" max="10255" width="16.875" style="141" customWidth="1"/>
    <col min="10256" max="10256" width="13.125" style="141" bestFit="1" customWidth="1"/>
    <col min="10257" max="10257" width="11.625" style="141" bestFit="1" customWidth="1"/>
    <col min="10258" max="10260" width="0" style="141" hidden="1" customWidth="1"/>
    <col min="10261" max="10502" width="9.125" style="141"/>
    <col min="10503" max="10503" width="8.25" style="141" customWidth="1"/>
    <col min="10504" max="10504" width="37.375" style="141" customWidth="1"/>
    <col min="10505" max="10505" width="12.375" style="141" customWidth="1"/>
    <col min="10506" max="10510" width="0" style="141" hidden="1" customWidth="1"/>
    <col min="10511" max="10511" width="16.875" style="141" customWidth="1"/>
    <col min="10512" max="10512" width="13.125" style="141" bestFit="1" customWidth="1"/>
    <col min="10513" max="10513" width="11.625" style="141" bestFit="1" customWidth="1"/>
    <col min="10514" max="10516" width="0" style="141" hidden="1" customWidth="1"/>
    <col min="10517" max="10758" width="9.125" style="141"/>
    <col min="10759" max="10759" width="8.25" style="141" customWidth="1"/>
    <col min="10760" max="10760" width="37.375" style="141" customWidth="1"/>
    <col min="10761" max="10761" width="12.375" style="141" customWidth="1"/>
    <col min="10762" max="10766" width="0" style="141" hidden="1" customWidth="1"/>
    <col min="10767" max="10767" width="16.875" style="141" customWidth="1"/>
    <col min="10768" max="10768" width="13.125" style="141" bestFit="1" customWidth="1"/>
    <col min="10769" max="10769" width="11.625" style="141" bestFit="1" customWidth="1"/>
    <col min="10770" max="10772" width="0" style="141" hidden="1" customWidth="1"/>
    <col min="10773" max="11014" width="9.125" style="141"/>
    <col min="11015" max="11015" width="8.25" style="141" customWidth="1"/>
    <col min="11016" max="11016" width="37.375" style="141" customWidth="1"/>
    <col min="11017" max="11017" width="12.375" style="141" customWidth="1"/>
    <col min="11018" max="11022" width="0" style="141" hidden="1" customWidth="1"/>
    <col min="11023" max="11023" width="16.875" style="141" customWidth="1"/>
    <col min="11024" max="11024" width="13.125" style="141" bestFit="1" customWidth="1"/>
    <col min="11025" max="11025" width="11.625" style="141" bestFit="1" customWidth="1"/>
    <col min="11026" max="11028" width="0" style="141" hidden="1" customWidth="1"/>
    <col min="11029" max="11270" width="9.125" style="141"/>
    <col min="11271" max="11271" width="8.25" style="141" customWidth="1"/>
    <col min="11272" max="11272" width="37.375" style="141" customWidth="1"/>
    <col min="11273" max="11273" width="12.375" style="141" customWidth="1"/>
    <col min="11274" max="11278" width="0" style="141" hidden="1" customWidth="1"/>
    <col min="11279" max="11279" width="16.875" style="141" customWidth="1"/>
    <col min="11280" max="11280" width="13.125" style="141" bestFit="1" customWidth="1"/>
    <col min="11281" max="11281" width="11.625" style="141" bestFit="1" customWidth="1"/>
    <col min="11282" max="11284" width="0" style="141" hidden="1" customWidth="1"/>
    <col min="11285" max="11526" width="9.125" style="141"/>
    <col min="11527" max="11527" width="8.25" style="141" customWidth="1"/>
    <col min="11528" max="11528" width="37.375" style="141" customWidth="1"/>
    <col min="11529" max="11529" width="12.375" style="141" customWidth="1"/>
    <col min="11530" max="11534" width="0" style="141" hidden="1" customWidth="1"/>
    <col min="11535" max="11535" width="16.875" style="141" customWidth="1"/>
    <col min="11536" max="11536" width="13.125" style="141" bestFit="1" customWidth="1"/>
    <col min="11537" max="11537" width="11.625" style="141" bestFit="1" customWidth="1"/>
    <col min="11538" max="11540" width="0" style="141" hidden="1" customWidth="1"/>
    <col min="11541" max="11782" width="9.125" style="141"/>
    <col min="11783" max="11783" width="8.25" style="141" customWidth="1"/>
    <col min="11784" max="11784" width="37.375" style="141" customWidth="1"/>
    <col min="11785" max="11785" width="12.375" style="141" customWidth="1"/>
    <col min="11786" max="11790" width="0" style="141" hidden="1" customWidth="1"/>
    <col min="11791" max="11791" width="16.875" style="141" customWidth="1"/>
    <col min="11792" max="11792" width="13.125" style="141" bestFit="1" customWidth="1"/>
    <col min="11793" max="11793" width="11.625" style="141" bestFit="1" customWidth="1"/>
    <col min="11794" max="11796" width="0" style="141" hidden="1" customWidth="1"/>
    <col min="11797" max="12038" width="9.125" style="141"/>
    <col min="12039" max="12039" width="8.25" style="141" customWidth="1"/>
    <col min="12040" max="12040" width="37.375" style="141" customWidth="1"/>
    <col min="12041" max="12041" width="12.375" style="141" customWidth="1"/>
    <col min="12042" max="12046" width="0" style="141" hidden="1" customWidth="1"/>
    <col min="12047" max="12047" width="16.875" style="141" customWidth="1"/>
    <col min="12048" max="12048" width="13.125" style="141" bestFit="1" customWidth="1"/>
    <col min="12049" max="12049" width="11.625" style="141" bestFit="1" customWidth="1"/>
    <col min="12050" max="12052" width="0" style="141" hidden="1" customWidth="1"/>
    <col min="12053" max="12294" width="9.125" style="141"/>
    <col min="12295" max="12295" width="8.25" style="141" customWidth="1"/>
    <col min="12296" max="12296" width="37.375" style="141" customWidth="1"/>
    <col min="12297" max="12297" width="12.375" style="141" customWidth="1"/>
    <col min="12298" max="12302" width="0" style="141" hidden="1" customWidth="1"/>
    <col min="12303" max="12303" width="16.875" style="141" customWidth="1"/>
    <col min="12304" max="12304" width="13.125" style="141" bestFit="1" customWidth="1"/>
    <col min="12305" max="12305" width="11.625" style="141" bestFit="1" customWidth="1"/>
    <col min="12306" max="12308" width="0" style="141" hidden="1" customWidth="1"/>
    <col min="12309" max="12550" width="9.125" style="141"/>
    <col min="12551" max="12551" width="8.25" style="141" customWidth="1"/>
    <col min="12552" max="12552" width="37.375" style="141" customWidth="1"/>
    <col min="12553" max="12553" width="12.375" style="141" customWidth="1"/>
    <col min="12554" max="12558" width="0" style="141" hidden="1" customWidth="1"/>
    <col min="12559" max="12559" width="16.875" style="141" customWidth="1"/>
    <col min="12560" max="12560" width="13.125" style="141" bestFit="1" customWidth="1"/>
    <col min="12561" max="12561" width="11.625" style="141" bestFit="1" customWidth="1"/>
    <col min="12562" max="12564" width="0" style="141" hidden="1" customWidth="1"/>
    <col min="12565" max="12806" width="9.125" style="141"/>
    <col min="12807" max="12807" width="8.25" style="141" customWidth="1"/>
    <col min="12808" max="12808" width="37.375" style="141" customWidth="1"/>
    <col min="12809" max="12809" width="12.375" style="141" customWidth="1"/>
    <col min="12810" max="12814" width="0" style="141" hidden="1" customWidth="1"/>
    <col min="12815" max="12815" width="16.875" style="141" customWidth="1"/>
    <col min="12816" max="12816" width="13.125" style="141" bestFit="1" customWidth="1"/>
    <col min="12817" max="12817" width="11.625" style="141" bestFit="1" customWidth="1"/>
    <col min="12818" max="12820" width="0" style="141" hidden="1" customWidth="1"/>
    <col min="12821" max="13062" width="9.125" style="141"/>
    <col min="13063" max="13063" width="8.25" style="141" customWidth="1"/>
    <col min="13064" max="13064" width="37.375" style="141" customWidth="1"/>
    <col min="13065" max="13065" width="12.375" style="141" customWidth="1"/>
    <col min="13066" max="13070" width="0" style="141" hidden="1" customWidth="1"/>
    <col min="13071" max="13071" width="16.875" style="141" customWidth="1"/>
    <col min="13072" max="13072" width="13.125" style="141" bestFit="1" customWidth="1"/>
    <col min="13073" max="13073" width="11.625" style="141" bestFit="1" customWidth="1"/>
    <col min="13074" max="13076" width="0" style="141" hidden="1" customWidth="1"/>
    <col min="13077" max="13318" width="9.125" style="141"/>
    <col min="13319" max="13319" width="8.25" style="141" customWidth="1"/>
    <col min="13320" max="13320" width="37.375" style="141" customWidth="1"/>
    <col min="13321" max="13321" width="12.375" style="141" customWidth="1"/>
    <col min="13322" max="13326" width="0" style="141" hidden="1" customWidth="1"/>
    <col min="13327" max="13327" width="16.875" style="141" customWidth="1"/>
    <col min="13328" max="13328" width="13.125" style="141" bestFit="1" customWidth="1"/>
    <col min="13329" max="13329" width="11.625" style="141" bestFit="1" customWidth="1"/>
    <col min="13330" max="13332" width="0" style="141" hidden="1" customWidth="1"/>
    <col min="13333" max="13574" width="9.125" style="141"/>
    <col min="13575" max="13575" width="8.25" style="141" customWidth="1"/>
    <col min="13576" max="13576" width="37.375" style="141" customWidth="1"/>
    <col min="13577" max="13577" width="12.375" style="141" customWidth="1"/>
    <col min="13578" max="13582" width="0" style="141" hidden="1" customWidth="1"/>
    <col min="13583" max="13583" width="16.875" style="141" customWidth="1"/>
    <col min="13584" max="13584" width="13.125" style="141" bestFit="1" customWidth="1"/>
    <col min="13585" max="13585" width="11.625" style="141" bestFit="1" customWidth="1"/>
    <col min="13586" max="13588" width="0" style="141" hidden="1" customWidth="1"/>
    <col min="13589" max="13830" width="9.125" style="141"/>
    <col min="13831" max="13831" width="8.25" style="141" customWidth="1"/>
    <col min="13832" max="13832" width="37.375" style="141" customWidth="1"/>
    <col min="13833" max="13833" width="12.375" style="141" customWidth="1"/>
    <col min="13834" max="13838" width="0" style="141" hidden="1" customWidth="1"/>
    <col min="13839" max="13839" width="16.875" style="141" customWidth="1"/>
    <col min="13840" max="13840" width="13.125" style="141" bestFit="1" customWidth="1"/>
    <col min="13841" max="13841" width="11.625" style="141" bestFit="1" customWidth="1"/>
    <col min="13842" max="13844" width="0" style="141" hidden="1" customWidth="1"/>
    <col min="13845" max="14086" width="9.125" style="141"/>
    <col min="14087" max="14087" width="8.25" style="141" customWidth="1"/>
    <col min="14088" max="14088" width="37.375" style="141" customWidth="1"/>
    <col min="14089" max="14089" width="12.375" style="141" customWidth="1"/>
    <col min="14090" max="14094" width="0" style="141" hidden="1" customWidth="1"/>
    <col min="14095" max="14095" width="16.875" style="141" customWidth="1"/>
    <col min="14096" max="14096" width="13.125" style="141" bestFit="1" customWidth="1"/>
    <col min="14097" max="14097" width="11.625" style="141" bestFit="1" customWidth="1"/>
    <col min="14098" max="14100" width="0" style="141" hidden="1" customWidth="1"/>
    <col min="14101" max="14342" width="9.125" style="141"/>
    <col min="14343" max="14343" width="8.25" style="141" customWidth="1"/>
    <col min="14344" max="14344" width="37.375" style="141" customWidth="1"/>
    <col min="14345" max="14345" width="12.375" style="141" customWidth="1"/>
    <col min="14346" max="14350" width="0" style="141" hidden="1" customWidth="1"/>
    <col min="14351" max="14351" width="16.875" style="141" customWidth="1"/>
    <col min="14352" max="14352" width="13.125" style="141" bestFit="1" customWidth="1"/>
    <col min="14353" max="14353" width="11.625" style="141" bestFit="1" customWidth="1"/>
    <col min="14354" max="14356" width="0" style="141" hidden="1" customWidth="1"/>
    <col min="14357" max="14598" width="9.125" style="141"/>
    <col min="14599" max="14599" width="8.25" style="141" customWidth="1"/>
    <col min="14600" max="14600" width="37.375" style="141" customWidth="1"/>
    <col min="14601" max="14601" width="12.375" style="141" customWidth="1"/>
    <col min="14602" max="14606" width="0" style="141" hidden="1" customWidth="1"/>
    <col min="14607" max="14607" width="16.875" style="141" customWidth="1"/>
    <col min="14608" max="14608" width="13.125" style="141" bestFit="1" customWidth="1"/>
    <col min="14609" max="14609" width="11.625" style="141" bestFit="1" customWidth="1"/>
    <col min="14610" max="14612" width="0" style="141" hidden="1" customWidth="1"/>
    <col min="14613" max="14854" width="9.125" style="141"/>
    <col min="14855" max="14855" width="8.25" style="141" customWidth="1"/>
    <col min="14856" max="14856" width="37.375" style="141" customWidth="1"/>
    <col min="14857" max="14857" width="12.375" style="141" customWidth="1"/>
    <col min="14858" max="14862" width="0" style="141" hidden="1" customWidth="1"/>
    <col min="14863" max="14863" width="16.875" style="141" customWidth="1"/>
    <col min="14864" max="14864" width="13.125" style="141" bestFit="1" customWidth="1"/>
    <col min="14865" max="14865" width="11.625" style="141" bestFit="1" customWidth="1"/>
    <col min="14866" max="14868" width="0" style="141" hidden="1" customWidth="1"/>
    <col min="14869" max="15110" width="9.125" style="141"/>
    <col min="15111" max="15111" width="8.25" style="141" customWidth="1"/>
    <col min="15112" max="15112" width="37.375" style="141" customWidth="1"/>
    <col min="15113" max="15113" width="12.375" style="141" customWidth="1"/>
    <col min="15114" max="15118" width="0" style="141" hidden="1" customWidth="1"/>
    <col min="15119" max="15119" width="16.875" style="141" customWidth="1"/>
    <col min="15120" max="15120" width="13.125" style="141" bestFit="1" customWidth="1"/>
    <col min="15121" max="15121" width="11.625" style="141" bestFit="1" customWidth="1"/>
    <col min="15122" max="15124" width="0" style="141" hidden="1" customWidth="1"/>
    <col min="15125" max="15366" width="9.125" style="141"/>
    <col min="15367" max="15367" width="8.25" style="141" customWidth="1"/>
    <col min="15368" max="15368" width="37.375" style="141" customWidth="1"/>
    <col min="15369" max="15369" width="12.375" style="141" customWidth="1"/>
    <col min="15370" max="15374" width="0" style="141" hidden="1" customWidth="1"/>
    <col min="15375" max="15375" width="16.875" style="141" customWidth="1"/>
    <col min="15376" max="15376" width="13.125" style="141" bestFit="1" customWidth="1"/>
    <col min="15377" max="15377" width="11.625" style="141" bestFit="1" customWidth="1"/>
    <col min="15378" max="15380" width="0" style="141" hidden="1" customWidth="1"/>
    <col min="15381" max="15622" width="9.125" style="141"/>
    <col min="15623" max="15623" width="8.25" style="141" customWidth="1"/>
    <col min="15624" max="15624" width="37.375" style="141" customWidth="1"/>
    <col min="15625" max="15625" width="12.375" style="141" customWidth="1"/>
    <col min="15626" max="15630" width="0" style="141" hidden="1" customWidth="1"/>
    <col min="15631" max="15631" width="16.875" style="141" customWidth="1"/>
    <col min="15632" max="15632" width="13.125" style="141" bestFit="1" customWidth="1"/>
    <col min="15633" max="15633" width="11.625" style="141" bestFit="1" customWidth="1"/>
    <col min="15634" max="15636" width="0" style="141" hidden="1" customWidth="1"/>
    <col min="15637" max="15878" width="9.125" style="141"/>
    <col min="15879" max="15879" width="8.25" style="141" customWidth="1"/>
    <col min="15880" max="15880" width="37.375" style="141" customWidth="1"/>
    <col min="15881" max="15881" width="12.375" style="141" customWidth="1"/>
    <col min="15882" max="15886" width="0" style="141" hidden="1" customWidth="1"/>
    <col min="15887" max="15887" width="16.875" style="141" customWidth="1"/>
    <col min="15888" max="15888" width="13.125" style="141" bestFit="1" customWidth="1"/>
    <col min="15889" max="15889" width="11.625" style="141" bestFit="1" customWidth="1"/>
    <col min="15890" max="15892" width="0" style="141" hidden="1" customWidth="1"/>
    <col min="15893" max="16134" width="9.125" style="141"/>
    <col min="16135" max="16135" width="8.25" style="141" customWidth="1"/>
    <col min="16136" max="16136" width="37.375" style="141" customWidth="1"/>
    <col min="16137" max="16137" width="12.375" style="141" customWidth="1"/>
    <col min="16138" max="16142" width="0" style="141" hidden="1" customWidth="1"/>
    <col min="16143" max="16143" width="16.875" style="141" customWidth="1"/>
    <col min="16144" max="16144" width="13.125" style="141" bestFit="1" customWidth="1"/>
    <col min="16145" max="16145" width="11.625" style="141" bestFit="1" customWidth="1"/>
    <col min="16146" max="16148" width="0" style="141" hidden="1" customWidth="1"/>
    <col min="16149" max="16384" width="9.125" style="141"/>
  </cols>
  <sheetData>
    <row r="1" spans="1:34" ht="23.45" customHeight="1">
      <c r="A1" s="136" t="s">
        <v>74</v>
      </c>
      <c r="D1" s="139"/>
      <c r="E1" s="139"/>
      <c r="F1" s="139"/>
      <c r="G1" s="139"/>
      <c r="H1" s="139"/>
      <c r="I1" s="140"/>
      <c r="J1" s="139"/>
    </row>
    <row r="2" spans="1:34" ht="23.45" customHeight="1">
      <c r="A2" s="136" t="s">
        <v>75</v>
      </c>
      <c r="D2" s="139"/>
      <c r="E2" s="139"/>
      <c r="F2" s="139"/>
      <c r="G2" s="139"/>
      <c r="H2" s="139"/>
      <c r="I2" s="140"/>
      <c r="J2" s="139"/>
    </row>
    <row r="3" spans="1:34" ht="49.5" customHeight="1">
      <c r="A3" s="496" t="s">
        <v>343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34" ht="16.5">
      <c r="A4" s="497" t="s">
        <v>76</v>
      </c>
      <c r="B4" s="497" t="s">
        <v>77</v>
      </c>
      <c r="C4" s="497" t="s">
        <v>78</v>
      </c>
      <c r="D4" s="497" t="s">
        <v>79</v>
      </c>
      <c r="E4" s="499" t="s">
        <v>80</v>
      </c>
      <c r="F4" s="499"/>
      <c r="G4" s="499"/>
      <c r="H4" s="499"/>
      <c r="I4" s="497" t="s">
        <v>185</v>
      </c>
      <c r="J4" s="497" t="s">
        <v>82</v>
      </c>
      <c r="K4" s="497"/>
      <c r="L4" s="497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</row>
    <row r="5" spans="1:34" s="143" customFormat="1" ht="37.5" customHeight="1">
      <c r="A5" s="498"/>
      <c r="B5" s="498"/>
      <c r="C5" s="498"/>
      <c r="D5" s="498"/>
      <c r="E5" s="274" t="s">
        <v>83</v>
      </c>
      <c r="F5" s="274" t="s">
        <v>84</v>
      </c>
      <c r="G5" s="274" t="s">
        <v>85</v>
      </c>
      <c r="H5" s="274" t="s">
        <v>86</v>
      </c>
      <c r="I5" s="498"/>
      <c r="J5" s="274" t="s">
        <v>87</v>
      </c>
      <c r="K5" s="274" t="s">
        <v>313</v>
      </c>
      <c r="L5" s="274" t="s">
        <v>88</v>
      </c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</row>
    <row r="6" spans="1:34" s="143" customFormat="1" ht="20.2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</row>
    <row r="7" spans="1:34" s="143" customFormat="1" ht="20.25" customHeight="1">
      <c r="A7" s="274" t="s">
        <v>89</v>
      </c>
      <c r="B7" s="275" t="s">
        <v>328</v>
      </c>
      <c r="C7" s="274"/>
      <c r="D7" s="274"/>
      <c r="E7" s="274"/>
      <c r="F7" s="274"/>
      <c r="G7" s="274"/>
      <c r="H7" s="274"/>
      <c r="I7" s="280">
        <f>I8+I12+I13</f>
        <v>804374.62</v>
      </c>
      <c r="J7" s="280">
        <f>J8+J12+J13</f>
        <v>847663.69</v>
      </c>
      <c r="K7" s="280">
        <f>K8+K12+K13</f>
        <v>839118.22</v>
      </c>
      <c r="L7" s="280">
        <f>L8+L12+L13</f>
        <v>917435.6</v>
      </c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258"/>
      <c r="AB7" s="258"/>
      <c r="AC7" s="258"/>
      <c r="AD7" s="143">
        <f>K7/J7%</f>
        <v>98.991879668692661</v>
      </c>
      <c r="AE7" s="143">
        <f>K7/I7%</f>
        <v>104.31933071185165</v>
      </c>
      <c r="AF7" s="252">
        <v>803375.22087999992</v>
      </c>
      <c r="AG7" s="253">
        <v>847663.196</v>
      </c>
    </row>
    <row r="8" spans="1:34" s="143" customFormat="1" ht="20.25" customHeight="1">
      <c r="A8" s="274">
        <v>1</v>
      </c>
      <c r="B8" s="444" t="s">
        <v>69</v>
      </c>
      <c r="C8" s="277"/>
      <c r="D8" s="274"/>
      <c r="E8" s="274"/>
      <c r="F8" s="274"/>
      <c r="G8" s="274"/>
      <c r="H8" s="274"/>
      <c r="I8" s="445">
        <f>I9+I10+I11</f>
        <v>517975.12</v>
      </c>
      <c r="J8" s="445">
        <f>J9+J10+J11</f>
        <v>578258.43999999994</v>
      </c>
      <c r="K8" s="445">
        <f>K9+K10+K11</f>
        <v>534183.22</v>
      </c>
      <c r="L8" s="445">
        <f>L9+L10+L11</f>
        <v>537230.6</v>
      </c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7">
        <f t="shared" ref="AA8:AA13" si="0">K8-I8</f>
        <v>16208.099999999977</v>
      </c>
      <c r="AB8" s="447"/>
      <c r="AC8" s="447"/>
      <c r="AD8" s="256">
        <f>AG8-J8</f>
        <v>-0.24399999994784594</v>
      </c>
      <c r="AF8" s="253">
        <v>517975.22087999992</v>
      </c>
      <c r="AG8" s="253">
        <v>578258.196</v>
      </c>
      <c r="AH8" s="143">
        <f>AG8/AF8%</f>
        <v>111.63819671095152</v>
      </c>
    </row>
    <row r="9" spans="1:34" s="143" customFormat="1" ht="20.25" customHeight="1">
      <c r="A9" s="274"/>
      <c r="B9" s="276" t="s">
        <v>317</v>
      </c>
      <c r="C9" s="277"/>
      <c r="D9" s="274"/>
      <c r="E9" s="274"/>
      <c r="F9" s="274"/>
      <c r="G9" s="274"/>
      <c r="H9" s="274"/>
      <c r="I9" s="278">
        <f>I14</f>
        <v>366485.12</v>
      </c>
      <c r="J9" s="278">
        <f>J14</f>
        <v>418350.44</v>
      </c>
      <c r="K9" s="278">
        <f>K14</f>
        <v>368210.22</v>
      </c>
      <c r="L9" s="278">
        <f>L14</f>
        <v>361672.6</v>
      </c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218">
        <f t="shared" si="0"/>
        <v>1725.0999999999767</v>
      </c>
      <c r="AB9" s="218"/>
      <c r="AC9" s="218"/>
      <c r="AF9" s="253">
        <v>265550</v>
      </c>
      <c r="AG9" s="253">
        <v>248550</v>
      </c>
    </row>
    <row r="10" spans="1:34" s="143" customFormat="1" ht="20.25" customHeight="1">
      <c r="A10" s="274"/>
      <c r="B10" s="276" t="s">
        <v>318</v>
      </c>
      <c r="C10" s="277"/>
      <c r="D10" s="274"/>
      <c r="E10" s="274"/>
      <c r="F10" s="274"/>
      <c r="G10" s="274"/>
      <c r="H10" s="274"/>
      <c r="I10" s="278">
        <f>I64</f>
        <v>131568</v>
      </c>
      <c r="J10" s="278">
        <f>J64</f>
        <v>139053</v>
      </c>
      <c r="K10" s="278">
        <f>K64</f>
        <v>145925</v>
      </c>
      <c r="L10" s="278">
        <f>L64</f>
        <v>155510</v>
      </c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218">
        <f t="shared" si="0"/>
        <v>14357</v>
      </c>
      <c r="AB10" s="218"/>
      <c r="AC10" s="218"/>
      <c r="AD10" s="250">
        <f>AF7-I7</f>
        <v>-999.39912000007462</v>
      </c>
      <c r="AE10" s="250">
        <f>AG7-J7</f>
        <v>-0.49399999994784594</v>
      </c>
      <c r="AF10" s="253">
        <v>19850</v>
      </c>
      <c r="AG10" s="253">
        <v>20855</v>
      </c>
    </row>
    <row r="11" spans="1:34" s="143" customFormat="1" ht="20.25" customHeight="1">
      <c r="A11" s="274"/>
      <c r="B11" s="279" t="s">
        <v>319</v>
      </c>
      <c r="C11" s="277"/>
      <c r="D11" s="274"/>
      <c r="E11" s="274"/>
      <c r="F11" s="274"/>
      <c r="G11" s="274"/>
      <c r="H11" s="274"/>
      <c r="I11" s="343">
        <v>19922</v>
      </c>
      <c r="J11" s="344">
        <v>20855</v>
      </c>
      <c r="K11" s="278">
        <v>20048</v>
      </c>
      <c r="L11" s="278">
        <v>20048</v>
      </c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218">
        <f t="shared" si="0"/>
        <v>126</v>
      </c>
      <c r="AB11" s="142"/>
      <c r="AC11" s="142"/>
    </row>
    <row r="12" spans="1:34" s="143" customFormat="1" ht="20.25" customHeight="1">
      <c r="A12" s="274">
        <v>2</v>
      </c>
      <c r="B12" s="448" t="s">
        <v>329</v>
      </c>
      <c r="C12" s="277"/>
      <c r="D12" s="274"/>
      <c r="E12" s="274"/>
      <c r="F12" s="274"/>
      <c r="G12" s="274"/>
      <c r="H12" s="274"/>
      <c r="I12" s="281">
        <f>I90</f>
        <v>266550</v>
      </c>
      <c r="J12" s="281">
        <f>J90</f>
        <v>248550</v>
      </c>
      <c r="K12" s="281">
        <f>K90</f>
        <v>283550</v>
      </c>
      <c r="L12" s="281">
        <f>L90</f>
        <v>358300</v>
      </c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447">
        <f t="shared" si="0"/>
        <v>17000</v>
      </c>
      <c r="AB12" s="251"/>
      <c r="AC12" s="251"/>
      <c r="AD12" s="250">
        <v>248550</v>
      </c>
      <c r="AE12" s="250">
        <f>J8-J10-J11</f>
        <v>418350.43999999994</v>
      </c>
      <c r="AF12" s="250">
        <f>K8-K10-K11</f>
        <v>368210.22</v>
      </c>
    </row>
    <row r="13" spans="1:34" s="143" customFormat="1" ht="20.25" customHeight="1">
      <c r="A13" s="274">
        <v>3</v>
      </c>
      <c r="B13" s="444" t="s">
        <v>330</v>
      </c>
      <c r="C13" s="280"/>
      <c r="D13" s="274"/>
      <c r="E13" s="274"/>
      <c r="F13" s="274"/>
      <c r="G13" s="274"/>
      <c r="H13" s="274"/>
      <c r="I13" s="281">
        <f>I106</f>
        <v>19849.5</v>
      </c>
      <c r="J13" s="281">
        <f>J106</f>
        <v>20855.25</v>
      </c>
      <c r="K13" s="281">
        <f>K106</f>
        <v>21385</v>
      </c>
      <c r="L13" s="281">
        <f>L106</f>
        <v>21905</v>
      </c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447">
        <f t="shared" si="0"/>
        <v>1535.5</v>
      </c>
      <c r="AB13" s="225">
        <v>20855</v>
      </c>
      <c r="AC13" s="225"/>
      <c r="AD13" s="143">
        <v>20855</v>
      </c>
      <c r="AF13" s="250">
        <f>AG8-J8</f>
        <v>-0.24399999994784594</v>
      </c>
    </row>
    <row r="14" spans="1:34" s="144" customFormat="1" ht="31.5">
      <c r="A14" s="282"/>
      <c r="B14" s="283" t="s">
        <v>92</v>
      </c>
      <c r="C14" s="284"/>
      <c r="D14" s="285" t="e">
        <f>D18+D21+D24+D27+D30+D36+D39+D42+D45+#REF!+D52+D55</f>
        <v>#REF!</v>
      </c>
      <c r="E14" s="285" t="e">
        <f>E18+E21+E24+E27+E30+E36+E39+E42+E45+#REF!+E52+E55</f>
        <v>#REF!</v>
      </c>
      <c r="F14" s="285" t="e">
        <f>F18+F21+F24+F27+F30+F36+F39+F42+F45+#REF!+F52+F55</f>
        <v>#REF!</v>
      </c>
      <c r="G14" s="285" t="e">
        <f>G18+G21+G24+G27+G30+G36+G39+G42+G45+#REF!+G52+G55</f>
        <v>#REF!</v>
      </c>
      <c r="H14" s="285" t="e">
        <f>H18+H21+H24+H27+H30+H36+H39+H42+H45+#REF!+H52+H55</f>
        <v>#REF!</v>
      </c>
      <c r="I14" s="285">
        <f>I18+I21+I24+I27+I30+I33+I36+I42+I45+I48+I51+I53+I54+I55+I39</f>
        <v>366485.12</v>
      </c>
      <c r="J14" s="285">
        <f>J18+J21+J24+J27+J30+J33+J36+J42+J45+J48+J51+J53+J54+J55+J39</f>
        <v>418350.44</v>
      </c>
      <c r="K14" s="285">
        <f>K18+K21+K24+K27+K30+K33+K36+K42+K45+K48+K51+K53+K54+K55+K39</f>
        <v>368210.22</v>
      </c>
      <c r="L14" s="285">
        <f>L18+L21+L24+L27+L30+L33+L36+L42+L45+L48+L51+L53+L54+L55+L39</f>
        <v>361672.6</v>
      </c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59"/>
      <c r="AB14" s="259"/>
      <c r="AC14" s="259"/>
      <c r="AF14" s="254">
        <f>AG8-J10-J11</f>
        <v>418350.196</v>
      </c>
    </row>
    <row r="15" spans="1:34" s="441" customFormat="1">
      <c r="A15" s="433"/>
      <c r="B15" s="434" t="s">
        <v>344</v>
      </c>
      <c r="C15" s="438"/>
      <c r="D15" s="439"/>
      <c r="E15" s="439"/>
      <c r="F15" s="439"/>
      <c r="G15" s="439"/>
      <c r="H15" s="439"/>
      <c r="I15" s="439"/>
      <c r="J15" s="439"/>
      <c r="K15" s="439"/>
      <c r="L15" s="439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F15" s="442"/>
    </row>
    <row r="16" spans="1:34">
      <c r="A16" s="286" t="s">
        <v>93</v>
      </c>
      <c r="B16" s="287" t="s">
        <v>94</v>
      </c>
      <c r="C16" s="286" t="s">
        <v>90</v>
      </c>
      <c r="D16" s="288">
        <v>694.31999999999994</v>
      </c>
      <c r="E16" s="288">
        <v>693</v>
      </c>
      <c r="F16" s="288">
        <v>693.3</v>
      </c>
      <c r="G16" s="288">
        <v>666.1</v>
      </c>
      <c r="H16" s="288">
        <v>607.5</v>
      </c>
      <c r="I16" s="288">
        <v>645</v>
      </c>
      <c r="J16" s="288">
        <v>600</v>
      </c>
      <c r="K16" s="288">
        <v>600</v>
      </c>
      <c r="L16" s="288">
        <v>600</v>
      </c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</row>
    <row r="17" spans="1:30">
      <c r="A17" s="286"/>
      <c r="B17" s="289" t="s">
        <v>95</v>
      </c>
      <c r="C17" s="286" t="s">
        <v>91</v>
      </c>
      <c r="D17" s="288">
        <v>3636.0094200000003</v>
      </c>
      <c r="E17" s="288">
        <v>3662.7900999999997</v>
      </c>
      <c r="F17" s="288">
        <v>3629.5201000000006</v>
      </c>
      <c r="G17" s="288">
        <v>3628.8854999999999</v>
      </c>
      <c r="H17" s="288">
        <v>3212</v>
      </c>
      <c r="I17" s="290">
        <v>3300</v>
      </c>
      <c r="J17" s="290">
        <v>3077.8</v>
      </c>
      <c r="K17" s="290">
        <v>3205.9</v>
      </c>
      <c r="L17" s="288">
        <f>L16*54.5/10</f>
        <v>3270</v>
      </c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</row>
    <row r="18" spans="1:30" s="220" customFormat="1">
      <c r="A18" s="286"/>
      <c r="B18" s="411" t="s">
        <v>96</v>
      </c>
      <c r="C18" s="412" t="s">
        <v>97</v>
      </c>
      <c r="D18" s="413">
        <v>22823</v>
      </c>
      <c r="E18" s="413">
        <v>22902</v>
      </c>
      <c r="F18" s="413">
        <v>23361</v>
      </c>
      <c r="G18" s="413">
        <v>23587.75575</v>
      </c>
      <c r="H18" s="413">
        <f>H17*6.5</f>
        <v>20878</v>
      </c>
      <c r="I18" s="413">
        <f>I17*6.5</f>
        <v>21450</v>
      </c>
      <c r="J18" s="413">
        <f>J17*7</f>
        <v>21544.600000000002</v>
      </c>
      <c r="K18" s="413">
        <f>K17*7</f>
        <v>22441.3</v>
      </c>
      <c r="L18" s="413">
        <f>L17*7</f>
        <v>22890</v>
      </c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</row>
    <row r="19" spans="1:30">
      <c r="A19" s="286" t="s">
        <v>98</v>
      </c>
      <c r="B19" s="287" t="s">
        <v>99</v>
      </c>
      <c r="C19" s="286" t="s">
        <v>90</v>
      </c>
      <c r="D19" s="288">
        <v>225</v>
      </c>
      <c r="E19" s="288">
        <v>237.5</v>
      </c>
      <c r="F19" s="288">
        <v>258.2</v>
      </c>
      <c r="G19" s="288">
        <v>241.6</v>
      </c>
      <c r="H19" s="288">
        <v>265</v>
      </c>
      <c r="I19" s="288">
        <v>270</v>
      </c>
      <c r="J19" s="288">
        <v>340</v>
      </c>
      <c r="K19" s="288">
        <v>340</v>
      </c>
      <c r="L19" s="288">
        <v>270</v>
      </c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</row>
    <row r="20" spans="1:30">
      <c r="A20" s="286"/>
      <c r="B20" s="289" t="s">
        <v>95</v>
      </c>
      <c r="C20" s="286" t="s">
        <v>91</v>
      </c>
      <c r="D20" s="288">
        <v>817.04</v>
      </c>
      <c r="E20" s="288">
        <v>876.30499999999995</v>
      </c>
      <c r="F20" s="288">
        <v>995.1333223504721</v>
      </c>
      <c r="G20" s="288">
        <v>949.63889027235973</v>
      </c>
      <c r="H20" s="288">
        <v>1004</v>
      </c>
      <c r="I20" s="290">
        <v>1271.4000000000001</v>
      </c>
      <c r="J20" s="290">
        <v>1342</v>
      </c>
      <c r="K20" s="292">
        <f>K19*3.9</f>
        <v>1326</v>
      </c>
      <c r="L20" s="292">
        <f>L19*3.9</f>
        <v>1053</v>
      </c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>
        <f>AB13-J13</f>
        <v>-0.25</v>
      </c>
      <c r="AC20" s="261"/>
      <c r="AD20" s="141">
        <v>1261</v>
      </c>
    </row>
    <row r="21" spans="1:30" s="220" customFormat="1">
      <c r="A21" s="286"/>
      <c r="B21" s="411" t="s">
        <v>96</v>
      </c>
      <c r="C21" s="412" t="s">
        <v>97</v>
      </c>
      <c r="D21" s="413">
        <v>4430</v>
      </c>
      <c r="E21" s="413">
        <v>4557</v>
      </c>
      <c r="F21" s="413">
        <v>5631</v>
      </c>
      <c r="G21" s="413">
        <v>5697.8333416341584</v>
      </c>
      <c r="H21" s="413">
        <f>H20*6</f>
        <v>6024</v>
      </c>
      <c r="I21" s="413">
        <f>I20*6</f>
        <v>7628.4000000000005</v>
      </c>
      <c r="J21" s="413">
        <f>J20*6.5</f>
        <v>8723</v>
      </c>
      <c r="K21" s="413">
        <f>K20*6</f>
        <v>7956</v>
      </c>
      <c r="L21" s="413">
        <f>L20*6</f>
        <v>6318</v>
      </c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</row>
    <row r="22" spans="1:30">
      <c r="A22" s="286" t="s">
        <v>100</v>
      </c>
      <c r="B22" s="287" t="s">
        <v>101</v>
      </c>
      <c r="C22" s="286" t="s">
        <v>90</v>
      </c>
      <c r="D22" s="288">
        <v>842</v>
      </c>
      <c r="E22" s="288">
        <v>839</v>
      </c>
      <c r="F22" s="288">
        <v>815</v>
      </c>
      <c r="G22" s="288">
        <v>725</v>
      </c>
      <c r="H22" s="288">
        <v>737</v>
      </c>
      <c r="I22" s="288">
        <v>600</v>
      </c>
      <c r="J22" s="288">
        <v>500</v>
      </c>
      <c r="K22" s="288">
        <v>500</v>
      </c>
      <c r="L22" s="288">
        <v>500</v>
      </c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</row>
    <row r="23" spans="1:30">
      <c r="A23" s="286"/>
      <c r="B23" s="293" t="s">
        <v>102</v>
      </c>
      <c r="C23" s="286" t="s">
        <v>91</v>
      </c>
      <c r="D23" s="294">
        <v>19335.499631096449</v>
      </c>
      <c r="E23" s="294">
        <v>19005.849999999999</v>
      </c>
      <c r="F23" s="294">
        <v>20037.55</v>
      </c>
      <c r="G23" s="294">
        <v>16460.2</v>
      </c>
      <c r="H23" s="294">
        <f>H22*25</f>
        <v>18425</v>
      </c>
      <c r="I23" s="290">
        <v>14187.5</v>
      </c>
      <c r="J23" s="290">
        <v>11050</v>
      </c>
      <c r="K23" s="290">
        <f>K22*23.9</f>
        <v>11950</v>
      </c>
      <c r="L23" s="290">
        <f>L22*23.9</f>
        <v>11950</v>
      </c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</row>
    <row r="24" spans="1:30" s="220" customFormat="1">
      <c r="A24" s="286"/>
      <c r="B24" s="411" t="s">
        <v>96</v>
      </c>
      <c r="C24" s="412" t="s">
        <v>97</v>
      </c>
      <c r="D24" s="413">
        <v>35319</v>
      </c>
      <c r="E24" s="413">
        <v>34874</v>
      </c>
      <c r="F24" s="413">
        <v>39052</v>
      </c>
      <c r="G24" s="413">
        <v>31274.38</v>
      </c>
      <c r="H24" s="413">
        <f>H23*1.1</f>
        <v>20267.5</v>
      </c>
      <c r="I24" s="413">
        <f>I23*1.8</f>
        <v>25537.5</v>
      </c>
      <c r="J24" s="413">
        <f>J23*1.2</f>
        <v>13260</v>
      </c>
      <c r="K24" s="413">
        <f>K23*1.8</f>
        <v>21510</v>
      </c>
      <c r="L24" s="413">
        <f>L23*1.8</f>
        <v>21510</v>
      </c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</row>
    <row r="25" spans="1:30">
      <c r="A25" s="286" t="s">
        <v>103</v>
      </c>
      <c r="B25" s="287" t="s">
        <v>104</v>
      </c>
      <c r="C25" s="286" t="s">
        <v>90</v>
      </c>
      <c r="D25" s="295">
        <v>145</v>
      </c>
      <c r="E25" s="288">
        <v>134.5</v>
      </c>
      <c r="F25" s="288">
        <v>129</v>
      </c>
      <c r="G25" s="288">
        <v>125</v>
      </c>
      <c r="H25" s="288">
        <v>127.6</v>
      </c>
      <c r="I25" s="296">
        <v>189</v>
      </c>
      <c r="J25" s="296">
        <v>170</v>
      </c>
      <c r="K25" s="296">
        <v>182.7</v>
      </c>
      <c r="L25" s="296">
        <v>183</v>
      </c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</row>
    <row r="26" spans="1:30">
      <c r="A26" s="286"/>
      <c r="B26" s="293" t="s">
        <v>102</v>
      </c>
      <c r="C26" s="286" t="s">
        <v>91</v>
      </c>
      <c r="D26" s="297">
        <v>80.599999999999994</v>
      </c>
      <c r="E26" s="288">
        <v>76.849999999999994</v>
      </c>
      <c r="F26" s="288">
        <v>72.501000000000005</v>
      </c>
      <c r="G26" s="288">
        <v>69.760500000000008</v>
      </c>
      <c r="H26" s="288">
        <v>68.652900000000002</v>
      </c>
      <c r="I26" s="288">
        <f>I25*0.7</f>
        <v>132.29999999999998</v>
      </c>
      <c r="J26" s="288">
        <f>J25*0.7</f>
        <v>118.99999999999999</v>
      </c>
      <c r="K26" s="288">
        <f>K25*0.7</f>
        <v>127.88999999999999</v>
      </c>
      <c r="L26" s="288">
        <f>L25*0.7</f>
        <v>128.1</v>
      </c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</row>
    <row r="27" spans="1:30" s="220" customFormat="1">
      <c r="A27" s="286"/>
      <c r="B27" s="411" t="s">
        <v>96</v>
      </c>
      <c r="C27" s="412" t="s">
        <v>97</v>
      </c>
      <c r="D27" s="414">
        <v>2013</v>
      </c>
      <c r="E27" s="414">
        <v>2104</v>
      </c>
      <c r="F27" s="414">
        <v>1996</v>
      </c>
      <c r="G27" s="414">
        <v>2023.0545000000002</v>
      </c>
      <c r="H27" s="415">
        <v>2706.2</v>
      </c>
      <c r="I27" s="415">
        <f>I26*40</f>
        <v>5291.9999999999991</v>
      </c>
      <c r="J27" s="415">
        <f>J26*40</f>
        <v>4759.9999999999991</v>
      </c>
      <c r="K27" s="415">
        <f>K26*40</f>
        <v>5115.5999999999995</v>
      </c>
      <c r="L27" s="415">
        <f>L26*40</f>
        <v>5124</v>
      </c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</row>
    <row r="28" spans="1:30">
      <c r="A28" s="286" t="s">
        <v>105</v>
      </c>
      <c r="B28" s="287" t="s">
        <v>106</v>
      </c>
      <c r="C28" s="286" t="s">
        <v>90</v>
      </c>
      <c r="D28" s="288">
        <v>180</v>
      </c>
      <c r="E28" s="288">
        <v>172.5</v>
      </c>
      <c r="F28" s="288">
        <v>183.2</v>
      </c>
      <c r="G28" s="288">
        <v>189.8</v>
      </c>
      <c r="H28" s="288">
        <v>217.3</v>
      </c>
      <c r="I28" s="296">
        <v>287.10000000000002</v>
      </c>
      <c r="J28" s="296">
        <v>296</v>
      </c>
      <c r="K28" s="296">
        <v>320.39999999999998</v>
      </c>
      <c r="L28" s="296">
        <v>302.2</v>
      </c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</row>
    <row r="29" spans="1:30">
      <c r="A29" s="286"/>
      <c r="B29" s="298" t="s">
        <v>107</v>
      </c>
      <c r="C29" s="286" t="s">
        <v>91</v>
      </c>
      <c r="D29" s="288">
        <v>1774</v>
      </c>
      <c r="E29" s="288">
        <v>1541</v>
      </c>
      <c r="F29" s="288">
        <v>1763</v>
      </c>
      <c r="G29" s="288">
        <v>1844</v>
      </c>
      <c r="H29" s="294">
        <f>H28*83.5/10</f>
        <v>1814.4549999999999</v>
      </c>
      <c r="I29" s="294">
        <f>I28*9.9</f>
        <v>2842.2900000000004</v>
      </c>
      <c r="J29" s="294">
        <f>J28*10</f>
        <v>2960</v>
      </c>
      <c r="K29" s="294">
        <f>K28*10</f>
        <v>3204</v>
      </c>
      <c r="L29" s="294">
        <f>L28*10</f>
        <v>3022</v>
      </c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</row>
    <row r="30" spans="1:30" s="220" customFormat="1">
      <c r="A30" s="286"/>
      <c r="B30" s="411" t="s">
        <v>96</v>
      </c>
      <c r="C30" s="412"/>
      <c r="D30" s="413">
        <v>9508</v>
      </c>
      <c r="E30" s="413">
        <v>9779</v>
      </c>
      <c r="F30" s="413">
        <v>10233</v>
      </c>
      <c r="G30" s="413">
        <v>11064</v>
      </c>
      <c r="H30" s="413">
        <f>H29*12</f>
        <v>21773.46</v>
      </c>
      <c r="I30" s="413">
        <f>I29*17</f>
        <v>48318.930000000008</v>
      </c>
      <c r="J30" s="413">
        <f>J29*17</f>
        <v>50320</v>
      </c>
      <c r="K30" s="413">
        <f>K29*17</f>
        <v>54468</v>
      </c>
      <c r="L30" s="413">
        <f>L29*17</f>
        <v>51374</v>
      </c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</row>
    <row r="31" spans="1:30">
      <c r="A31" s="286" t="s">
        <v>315</v>
      </c>
      <c r="B31" s="287" t="s">
        <v>314</v>
      </c>
      <c r="C31" s="286" t="s">
        <v>90</v>
      </c>
      <c r="D31" s="291"/>
      <c r="E31" s="291"/>
      <c r="F31" s="291"/>
      <c r="G31" s="291"/>
      <c r="H31" s="291"/>
      <c r="I31" s="296">
        <v>61</v>
      </c>
      <c r="J31" s="296">
        <v>60</v>
      </c>
      <c r="K31" s="296">
        <v>64.599999999999994</v>
      </c>
      <c r="L31" s="296">
        <v>65</v>
      </c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</row>
    <row r="32" spans="1:30">
      <c r="A32" s="286"/>
      <c r="B32" s="298" t="s">
        <v>107</v>
      </c>
      <c r="C32" s="286" t="s">
        <v>91</v>
      </c>
      <c r="D32" s="291"/>
      <c r="E32" s="291"/>
      <c r="F32" s="291"/>
      <c r="G32" s="291"/>
      <c r="H32" s="291"/>
      <c r="I32" s="299">
        <f>I31*15</f>
        <v>915</v>
      </c>
      <c r="J32" s="299">
        <f t="shared" ref="J32:L33" si="1">J31*15</f>
        <v>900</v>
      </c>
      <c r="K32" s="299">
        <f t="shared" si="1"/>
        <v>968.99999999999989</v>
      </c>
      <c r="L32" s="299">
        <f t="shared" si="1"/>
        <v>975</v>
      </c>
    </row>
    <row r="33" spans="1:30" s="220" customFormat="1">
      <c r="A33" s="286"/>
      <c r="B33" s="411" t="s">
        <v>96</v>
      </c>
      <c r="C33" s="412"/>
      <c r="D33" s="413"/>
      <c r="E33" s="413"/>
      <c r="F33" s="413"/>
      <c r="G33" s="413"/>
      <c r="H33" s="413"/>
      <c r="I33" s="413">
        <f>I32*15</f>
        <v>13725</v>
      </c>
      <c r="J33" s="413">
        <f t="shared" si="1"/>
        <v>13500</v>
      </c>
      <c r="K33" s="413">
        <f t="shared" si="1"/>
        <v>14534.999999999998</v>
      </c>
      <c r="L33" s="413">
        <f t="shared" si="1"/>
        <v>14625</v>
      </c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</row>
    <row r="34" spans="1:30">
      <c r="A34" s="286"/>
      <c r="B34" s="287" t="s">
        <v>108</v>
      </c>
      <c r="C34" s="286" t="s">
        <v>90</v>
      </c>
      <c r="D34" s="288">
        <v>2400</v>
      </c>
      <c r="E34" s="288">
        <v>2860</v>
      </c>
      <c r="F34" s="288">
        <v>2700</v>
      </c>
      <c r="G34" s="288">
        <v>2600</v>
      </c>
      <c r="H34" s="288">
        <v>2497</v>
      </c>
      <c r="I34" s="290">
        <v>1818.2</v>
      </c>
      <c r="J34" s="290">
        <v>1818.2</v>
      </c>
      <c r="K34" s="290">
        <v>1450.4</v>
      </c>
      <c r="L34" s="290">
        <v>1450.4</v>
      </c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57"/>
    </row>
    <row r="35" spans="1:30">
      <c r="A35" s="286" t="s">
        <v>109</v>
      </c>
      <c r="B35" s="300" t="s">
        <v>110</v>
      </c>
      <c r="C35" s="286" t="s">
        <v>91</v>
      </c>
      <c r="D35" s="294">
        <v>9708</v>
      </c>
      <c r="E35" s="294">
        <v>12012</v>
      </c>
      <c r="F35" s="294">
        <v>11461.5</v>
      </c>
      <c r="G35" s="294">
        <v>11037</v>
      </c>
      <c r="H35" s="294">
        <v>11025</v>
      </c>
      <c r="I35" s="288">
        <f>I34*4.7</f>
        <v>8545.5400000000009</v>
      </c>
      <c r="J35" s="288">
        <f>J34*4.7</f>
        <v>8545.5400000000009</v>
      </c>
      <c r="K35" s="288">
        <f>K34*4.7</f>
        <v>6816.880000000001</v>
      </c>
      <c r="L35" s="288">
        <f>L34*4.7</f>
        <v>6816.880000000001</v>
      </c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</row>
    <row r="36" spans="1:30" s="220" customFormat="1">
      <c r="A36" s="286"/>
      <c r="B36" s="411" t="s">
        <v>96</v>
      </c>
      <c r="C36" s="412" t="s">
        <v>97</v>
      </c>
      <c r="D36" s="413">
        <v>66459</v>
      </c>
      <c r="E36" s="413">
        <v>67294</v>
      </c>
      <c r="F36" s="413">
        <v>89720</v>
      </c>
      <c r="G36" s="413">
        <v>107932</v>
      </c>
      <c r="H36" s="413">
        <f>H35*10.2</f>
        <v>112454.99999999999</v>
      </c>
      <c r="I36" s="413">
        <f>I35*13</f>
        <v>111092.02000000002</v>
      </c>
      <c r="J36" s="413">
        <f>J35*16</f>
        <v>136728.64000000001</v>
      </c>
      <c r="K36" s="413">
        <f>K35*14</f>
        <v>95436.32</v>
      </c>
      <c r="L36" s="413">
        <f>L35*14</f>
        <v>95436.32</v>
      </c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>
        <f>K36-J36</f>
        <v>-41292.320000000007</v>
      </c>
      <c r="AB36" s="260"/>
      <c r="AC36" s="260"/>
      <c r="AD36" s="242"/>
    </row>
    <row r="37" spans="1:30">
      <c r="A37" s="286" t="s">
        <v>111</v>
      </c>
      <c r="B37" s="287" t="s">
        <v>112</v>
      </c>
      <c r="C37" s="286" t="s">
        <v>90</v>
      </c>
      <c r="D37" s="288">
        <v>10.4</v>
      </c>
      <c r="E37" s="288">
        <v>9.84</v>
      </c>
      <c r="F37" s="288">
        <v>9.35</v>
      </c>
      <c r="G37" s="288">
        <v>4.0999999999999996</v>
      </c>
      <c r="H37" s="288">
        <v>4</v>
      </c>
      <c r="I37" s="288">
        <v>4</v>
      </c>
      <c r="J37" s="288">
        <v>4</v>
      </c>
      <c r="K37" s="288">
        <v>4</v>
      </c>
      <c r="L37" s="288">
        <v>4</v>
      </c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>
        <f>K35-J35</f>
        <v>-1728.6599999999999</v>
      </c>
      <c r="AB37" s="228"/>
      <c r="AC37" s="228"/>
    </row>
    <row r="38" spans="1:30">
      <c r="A38" s="286"/>
      <c r="B38" s="300" t="s">
        <v>113</v>
      </c>
      <c r="C38" s="286" t="s">
        <v>91</v>
      </c>
      <c r="D38" s="288">
        <v>10.4</v>
      </c>
      <c r="E38" s="288">
        <v>9.8000000000000007</v>
      </c>
      <c r="F38" s="288">
        <v>9.4</v>
      </c>
      <c r="G38" s="288">
        <v>4.0999999999999996</v>
      </c>
      <c r="H38" s="288">
        <v>5.4</v>
      </c>
      <c r="I38" s="288">
        <v>5.4</v>
      </c>
      <c r="J38" s="288">
        <f>J37*0.9</f>
        <v>3.6</v>
      </c>
      <c r="K38" s="288">
        <f>K37*0.9</f>
        <v>3.6</v>
      </c>
      <c r="L38" s="288">
        <f>L37*0.9</f>
        <v>3.6</v>
      </c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</row>
    <row r="39" spans="1:30" s="220" customFormat="1">
      <c r="A39" s="286"/>
      <c r="B39" s="411" t="s">
        <v>96</v>
      </c>
      <c r="C39" s="412"/>
      <c r="D39" s="413">
        <v>1636</v>
      </c>
      <c r="E39" s="413">
        <v>1463</v>
      </c>
      <c r="F39" s="413">
        <v>1089</v>
      </c>
      <c r="G39" s="413">
        <v>471.49999999999994</v>
      </c>
      <c r="H39" s="413">
        <f>H38*42</f>
        <v>226.8</v>
      </c>
      <c r="I39" s="413">
        <f>I38*42</f>
        <v>226.8</v>
      </c>
      <c r="J39" s="413">
        <f>J38*42</f>
        <v>151.20000000000002</v>
      </c>
      <c r="K39" s="413">
        <f>K38*42</f>
        <v>151.20000000000002</v>
      </c>
      <c r="L39" s="413">
        <f>L38*42</f>
        <v>151.20000000000002</v>
      </c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</row>
    <row r="40" spans="1:30">
      <c r="A40" s="286" t="s">
        <v>114</v>
      </c>
      <c r="B40" s="287" t="s">
        <v>115</v>
      </c>
      <c r="C40" s="286" t="s">
        <v>90</v>
      </c>
      <c r="D40" s="288">
        <v>165</v>
      </c>
      <c r="E40" s="288">
        <v>178</v>
      </c>
      <c r="F40" s="288">
        <v>152.5</v>
      </c>
      <c r="G40" s="288">
        <v>139.94999999999999</v>
      </c>
      <c r="H40" s="288">
        <v>165</v>
      </c>
      <c r="I40" s="296">
        <v>101.9</v>
      </c>
      <c r="J40" s="296">
        <v>125</v>
      </c>
      <c r="K40" s="296">
        <v>125</v>
      </c>
      <c r="L40" s="296">
        <v>130</v>
      </c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</row>
    <row r="41" spans="1:30">
      <c r="A41" s="286"/>
      <c r="B41" s="300" t="s">
        <v>116</v>
      </c>
      <c r="C41" s="286" t="s">
        <v>91</v>
      </c>
      <c r="D41" s="288">
        <v>802.2</v>
      </c>
      <c r="E41" s="288">
        <v>813.2</v>
      </c>
      <c r="F41" s="288">
        <v>839.16</v>
      </c>
      <c r="G41" s="288">
        <v>567.87574999999993</v>
      </c>
      <c r="H41" s="288">
        <f>F40*7.5</f>
        <v>1143.75</v>
      </c>
      <c r="I41" s="288">
        <f>I40*13</f>
        <v>1324.7</v>
      </c>
      <c r="J41" s="288">
        <f>J40*14</f>
        <v>1750</v>
      </c>
      <c r="K41" s="288">
        <f>K40*13</f>
        <v>1625</v>
      </c>
      <c r="L41" s="288">
        <f>L40*14</f>
        <v>1820</v>
      </c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</row>
    <row r="42" spans="1:30" s="220" customFormat="1">
      <c r="A42" s="286"/>
      <c r="B42" s="411" t="s">
        <v>96</v>
      </c>
      <c r="C42" s="412"/>
      <c r="D42" s="413">
        <v>15239</v>
      </c>
      <c r="E42" s="413">
        <v>15901</v>
      </c>
      <c r="F42" s="413">
        <v>17284</v>
      </c>
      <c r="G42" s="413">
        <v>12493.266499999998</v>
      </c>
      <c r="H42" s="413">
        <f>H41*22</f>
        <v>25162.5</v>
      </c>
      <c r="I42" s="413">
        <f>I41*25</f>
        <v>33117.5</v>
      </c>
      <c r="J42" s="413">
        <f>J41*20</f>
        <v>35000</v>
      </c>
      <c r="K42" s="413">
        <f>K41*18</f>
        <v>29250</v>
      </c>
      <c r="L42" s="413">
        <f>L41*18</f>
        <v>32760</v>
      </c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</row>
    <row r="43" spans="1:30">
      <c r="A43" s="286" t="s">
        <v>117</v>
      </c>
      <c r="B43" s="287" t="s">
        <v>118</v>
      </c>
      <c r="C43" s="286" t="s">
        <v>90</v>
      </c>
      <c r="D43" s="288">
        <v>198</v>
      </c>
      <c r="E43" s="288">
        <v>198</v>
      </c>
      <c r="F43" s="288">
        <v>198.99</v>
      </c>
      <c r="G43" s="288">
        <v>156.19</v>
      </c>
      <c r="H43" s="288">
        <v>172</v>
      </c>
      <c r="I43" s="296">
        <v>185.2</v>
      </c>
      <c r="J43" s="296">
        <v>187</v>
      </c>
      <c r="K43" s="296">
        <v>187.7</v>
      </c>
      <c r="L43" s="296">
        <v>196.7</v>
      </c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</row>
    <row r="44" spans="1:30">
      <c r="A44" s="286"/>
      <c r="B44" s="300" t="s">
        <v>116</v>
      </c>
      <c r="C44" s="286" t="s">
        <v>91</v>
      </c>
      <c r="D44" s="288">
        <v>4270.5</v>
      </c>
      <c r="E44" s="288">
        <v>4272.8</v>
      </c>
      <c r="F44" s="288">
        <v>4142.8966899999996</v>
      </c>
      <c r="G44" s="288">
        <v>2902.8811799999999</v>
      </c>
      <c r="H44" s="288">
        <f>H43*13</f>
        <v>2236</v>
      </c>
      <c r="I44" s="288">
        <f>I43*13</f>
        <v>2407.6</v>
      </c>
      <c r="J44" s="288">
        <f>J43*13</f>
        <v>2431</v>
      </c>
      <c r="K44" s="288">
        <f>K43*13</f>
        <v>2440.1</v>
      </c>
      <c r="L44" s="288">
        <f>L43*14</f>
        <v>2753.7999999999997</v>
      </c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</row>
    <row r="45" spans="1:30" s="220" customFormat="1">
      <c r="A45" s="286"/>
      <c r="B45" s="411" t="s">
        <v>96</v>
      </c>
      <c r="C45" s="412"/>
      <c r="D45" s="413">
        <v>26018</v>
      </c>
      <c r="E45" s="413">
        <v>27045</v>
      </c>
      <c r="F45" s="413">
        <v>27367</v>
      </c>
      <c r="G45" s="413">
        <v>19739.592023999998</v>
      </c>
      <c r="H45" s="413">
        <f>H44*5</f>
        <v>11180</v>
      </c>
      <c r="I45" s="413">
        <v>14251.37</v>
      </c>
      <c r="J45" s="413">
        <f>J44*7</f>
        <v>17017</v>
      </c>
      <c r="K45" s="413">
        <f>K44*7</f>
        <v>17080.7</v>
      </c>
      <c r="L45" s="413">
        <f>L44*7</f>
        <v>19276.599999999999</v>
      </c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</row>
    <row r="46" spans="1:30">
      <c r="A46" s="286" t="s">
        <v>119</v>
      </c>
      <c r="B46" s="287" t="s">
        <v>120</v>
      </c>
      <c r="C46" s="286" t="s">
        <v>90</v>
      </c>
      <c r="D46" s="301">
        <v>5</v>
      </c>
      <c r="E46" s="301">
        <v>6</v>
      </c>
      <c r="F46" s="301">
        <v>6</v>
      </c>
      <c r="G46" s="301">
        <v>6</v>
      </c>
      <c r="H46" s="301">
        <v>35.5</v>
      </c>
      <c r="I46" s="296">
        <v>79.5</v>
      </c>
      <c r="J46" s="296">
        <v>79</v>
      </c>
      <c r="K46" s="296">
        <v>57.5</v>
      </c>
      <c r="L46" s="296">
        <v>89.8</v>
      </c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</row>
    <row r="47" spans="1:30">
      <c r="A47" s="286"/>
      <c r="B47" s="300" t="s">
        <v>116</v>
      </c>
      <c r="C47" s="286" t="s">
        <v>91</v>
      </c>
      <c r="D47" s="288">
        <v>93.5</v>
      </c>
      <c r="E47" s="288">
        <v>112.19999999999999</v>
      </c>
      <c r="F47" s="288">
        <v>112.19999999999999</v>
      </c>
      <c r="G47" s="288">
        <v>112.19999999999999</v>
      </c>
      <c r="H47" s="288">
        <f>G46*18.7</f>
        <v>112.19999999999999</v>
      </c>
      <c r="I47" s="288">
        <f>H46*14</f>
        <v>497</v>
      </c>
      <c r="J47" s="288">
        <f>48.8*14</f>
        <v>683.19999999999993</v>
      </c>
      <c r="K47" s="288">
        <f>48.8*14</f>
        <v>683.19999999999993</v>
      </c>
      <c r="L47" s="288">
        <f>48.8*14</f>
        <v>683.19999999999993</v>
      </c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</row>
    <row r="48" spans="1:30" s="224" customFormat="1">
      <c r="A48" s="282"/>
      <c r="B48" s="411" t="s">
        <v>96</v>
      </c>
      <c r="C48" s="416"/>
      <c r="D48" s="417"/>
      <c r="E48" s="417"/>
      <c r="F48" s="417"/>
      <c r="G48" s="417"/>
      <c r="H48" s="417"/>
      <c r="I48" s="417">
        <f>I47*20</f>
        <v>9940</v>
      </c>
      <c r="J48" s="417">
        <f>J47*20</f>
        <v>13663.999999999998</v>
      </c>
      <c r="K48" s="417">
        <f>K47*20</f>
        <v>13663.999999999998</v>
      </c>
      <c r="L48" s="417">
        <f>L47*20</f>
        <v>13663.999999999998</v>
      </c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</row>
    <row r="49" spans="1:75">
      <c r="A49" s="286" t="s">
        <v>121</v>
      </c>
      <c r="B49" s="287" t="s">
        <v>122</v>
      </c>
      <c r="C49" s="286" t="s">
        <v>90</v>
      </c>
      <c r="D49" s="302"/>
      <c r="E49" s="302"/>
      <c r="F49" s="302"/>
      <c r="G49" s="302"/>
      <c r="H49" s="302"/>
      <c r="I49" s="296">
        <v>95.1</v>
      </c>
      <c r="J49" s="296">
        <v>120</v>
      </c>
      <c r="K49" s="296">
        <v>112.6</v>
      </c>
      <c r="L49" s="296">
        <v>122.6</v>
      </c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</row>
    <row r="50" spans="1:75">
      <c r="A50" s="286"/>
      <c r="B50" s="300" t="s">
        <v>116</v>
      </c>
      <c r="C50" s="286" t="s">
        <v>91</v>
      </c>
      <c r="D50" s="288"/>
      <c r="E50" s="288"/>
      <c r="F50" s="288"/>
      <c r="G50" s="288"/>
      <c r="H50" s="288"/>
      <c r="I50" s="294">
        <f>I49*13</f>
        <v>1236.3</v>
      </c>
      <c r="J50" s="294">
        <f>J49*14</f>
        <v>1680</v>
      </c>
      <c r="K50" s="294">
        <f>K49*14.2</f>
        <v>1598.9199999999998</v>
      </c>
      <c r="L50" s="294">
        <f>L49*13</f>
        <v>1593.8</v>
      </c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</row>
    <row r="51" spans="1:75" s="220" customFormat="1">
      <c r="A51" s="286"/>
      <c r="B51" s="411" t="s">
        <v>96</v>
      </c>
      <c r="C51" s="412"/>
      <c r="D51" s="418"/>
      <c r="E51" s="418"/>
      <c r="F51" s="418"/>
      <c r="G51" s="418"/>
      <c r="H51" s="418"/>
      <c r="I51" s="413">
        <f>I50*42</f>
        <v>51924.6</v>
      </c>
      <c r="J51" s="413">
        <f>J50*50</f>
        <v>84000</v>
      </c>
      <c r="K51" s="413">
        <f>K50*30</f>
        <v>47967.6</v>
      </c>
      <c r="L51" s="413">
        <f>L50*35</f>
        <v>55783</v>
      </c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</row>
    <row r="52" spans="1:75" s="144" customFormat="1">
      <c r="A52" s="303" t="s">
        <v>123</v>
      </c>
      <c r="B52" s="304" t="s">
        <v>124</v>
      </c>
      <c r="C52" s="286" t="s">
        <v>90</v>
      </c>
      <c r="D52" s="305">
        <v>15469</v>
      </c>
      <c r="E52" s="305">
        <v>10513</v>
      </c>
      <c r="F52" s="305">
        <v>12942</v>
      </c>
      <c r="G52" s="305">
        <v>18824</v>
      </c>
      <c r="H52" s="305">
        <v>9500</v>
      </c>
      <c r="I52" s="296">
        <v>44</v>
      </c>
      <c r="J52" s="296">
        <v>44</v>
      </c>
      <c r="K52" s="296">
        <v>45.3</v>
      </c>
      <c r="L52" s="296">
        <v>46</v>
      </c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</row>
    <row r="53" spans="1:75" s="221" customFormat="1">
      <c r="A53" s="284"/>
      <c r="B53" s="411" t="s">
        <v>96</v>
      </c>
      <c r="C53" s="419"/>
      <c r="D53" s="420"/>
      <c r="E53" s="420"/>
      <c r="F53" s="420"/>
      <c r="G53" s="420"/>
      <c r="H53" s="420"/>
      <c r="I53" s="420">
        <f>I52*65</f>
        <v>2860</v>
      </c>
      <c r="J53" s="420">
        <f>J52*70</f>
        <v>3080</v>
      </c>
      <c r="K53" s="420">
        <f>K52*65</f>
        <v>2944.5</v>
      </c>
      <c r="L53" s="420">
        <f>L52*65</f>
        <v>2990</v>
      </c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</row>
    <row r="54" spans="1:75" s="223" customFormat="1">
      <c r="A54" s="303" t="s">
        <v>126</v>
      </c>
      <c r="B54" s="304" t="s">
        <v>125</v>
      </c>
      <c r="C54" s="456" t="s">
        <v>347</v>
      </c>
      <c r="D54" s="305"/>
      <c r="E54" s="305"/>
      <c r="F54" s="305"/>
      <c r="G54" s="305"/>
      <c r="H54" s="305"/>
      <c r="I54" s="305">
        <v>12148</v>
      </c>
      <c r="J54" s="305"/>
      <c r="K54" s="305">
        <v>25690</v>
      </c>
      <c r="L54" s="305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23">
        <v>367</v>
      </c>
      <c r="AE54" s="222">
        <f>J55-398</f>
        <v>16204</v>
      </c>
    </row>
    <row r="55" spans="1:75" s="221" customFormat="1">
      <c r="A55" s="284" t="s">
        <v>126</v>
      </c>
      <c r="B55" s="304" t="s">
        <v>127</v>
      </c>
      <c r="C55" s="303"/>
      <c r="D55" s="305">
        <v>7500</v>
      </c>
      <c r="E55" s="305">
        <v>8200</v>
      </c>
      <c r="F55" s="305">
        <v>8900</v>
      </c>
      <c r="G55" s="305">
        <v>12500</v>
      </c>
      <c r="H55" s="305">
        <v>13700</v>
      </c>
      <c r="I55" s="305">
        <v>8973</v>
      </c>
      <c r="J55" s="305">
        <v>16602</v>
      </c>
      <c r="K55" s="305">
        <v>10000</v>
      </c>
      <c r="L55" s="305">
        <v>19770.48</v>
      </c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55">
        <f>AD54*70</f>
        <v>25690</v>
      </c>
      <c r="AE55" s="255">
        <f>I55-227</f>
        <v>8746</v>
      </c>
    </row>
    <row r="56" spans="1:75" hidden="1">
      <c r="A56" s="286" t="s">
        <v>128</v>
      </c>
      <c r="B56" s="287" t="s">
        <v>129</v>
      </c>
      <c r="C56" s="286" t="s">
        <v>130</v>
      </c>
      <c r="D56" s="306"/>
      <c r="E56" s="306"/>
      <c r="F56" s="306"/>
      <c r="G56" s="306"/>
      <c r="H56" s="306"/>
      <c r="I56" s="345"/>
      <c r="J56" s="306"/>
      <c r="K56" s="306"/>
      <c r="L56" s="306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</row>
    <row r="57" spans="1:75" s="145" customFormat="1" hidden="1">
      <c r="A57" s="286"/>
      <c r="B57" s="287" t="s">
        <v>131</v>
      </c>
      <c r="C57" s="286" t="s">
        <v>130</v>
      </c>
      <c r="D57" s="307">
        <v>52</v>
      </c>
      <c r="E57" s="307">
        <v>52.2</v>
      </c>
      <c r="F57" s="307">
        <v>53.4</v>
      </c>
      <c r="G57" s="307">
        <v>54.9</v>
      </c>
      <c r="H57" s="307">
        <v>55</v>
      </c>
      <c r="I57" s="307">
        <v>56</v>
      </c>
      <c r="J57" s="307">
        <v>60</v>
      </c>
      <c r="K57" s="307">
        <v>60</v>
      </c>
      <c r="L57" s="307">
        <v>62</v>
      </c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</row>
    <row r="58" spans="1:75" s="146" customFormat="1" hidden="1">
      <c r="A58" s="286"/>
      <c r="B58" s="287" t="s">
        <v>132</v>
      </c>
      <c r="C58" s="286" t="s">
        <v>130</v>
      </c>
      <c r="D58" s="308">
        <v>32.871010485078926</v>
      </c>
      <c r="E58" s="308">
        <v>33.047619047619051</v>
      </c>
      <c r="F58" s="308">
        <v>33.695369969710086</v>
      </c>
      <c r="G58" s="308">
        <v>35.411733598558776</v>
      </c>
      <c r="H58" s="308">
        <f>H18/H16</f>
        <v>34.367078189300415</v>
      </c>
      <c r="I58" s="308">
        <f>I18/I16</f>
        <v>33.255813953488371</v>
      </c>
      <c r="J58" s="308">
        <f>J18/J16</f>
        <v>35.907666666666671</v>
      </c>
      <c r="K58" s="308">
        <f>K18/K16</f>
        <v>37.402166666666666</v>
      </c>
      <c r="L58" s="308">
        <f>L18/L16</f>
        <v>38.15</v>
      </c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</row>
    <row r="59" spans="1:75" s="146" customFormat="1" hidden="1">
      <c r="A59" s="286"/>
      <c r="B59" s="287" t="s">
        <v>133</v>
      </c>
      <c r="C59" s="286" t="s">
        <v>130</v>
      </c>
      <c r="D59" s="308">
        <v>41.946555819477432</v>
      </c>
      <c r="E59" s="308">
        <v>41.56615017878427</v>
      </c>
      <c r="F59" s="308">
        <v>47.916564417177916</v>
      </c>
      <c r="G59" s="308">
        <v>43.137075862068968</v>
      </c>
      <c r="H59" s="308">
        <f>H24/H22</f>
        <v>27.5</v>
      </c>
      <c r="I59" s="308">
        <f>I24/I22</f>
        <v>42.5625</v>
      </c>
      <c r="J59" s="308">
        <f>J24/J22</f>
        <v>26.52</v>
      </c>
      <c r="K59" s="308">
        <f>K24/K22</f>
        <v>43.02</v>
      </c>
      <c r="L59" s="308">
        <f>L24/L22</f>
        <v>43.02</v>
      </c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</row>
    <row r="60" spans="1:75" s="146" customFormat="1" hidden="1">
      <c r="A60" s="286"/>
      <c r="B60" s="287" t="s">
        <v>134</v>
      </c>
      <c r="C60" s="286" t="s">
        <v>130</v>
      </c>
      <c r="D60" s="309">
        <v>27</v>
      </c>
      <c r="E60" s="309">
        <v>31</v>
      </c>
      <c r="F60" s="309">
        <v>33</v>
      </c>
      <c r="G60" s="308">
        <v>41.512307692307694</v>
      </c>
      <c r="H60" s="308">
        <f>H36/H34</f>
        <v>45.036043251902278</v>
      </c>
      <c r="I60" s="308">
        <f>I36/I34</f>
        <v>61.100000000000009</v>
      </c>
      <c r="J60" s="308">
        <f>J36/J34</f>
        <v>75.2</v>
      </c>
      <c r="K60" s="308">
        <f>K36/K34</f>
        <v>65.8</v>
      </c>
      <c r="L60" s="308">
        <f>L36/L34</f>
        <v>65.8</v>
      </c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</row>
    <row r="61" spans="1:75" s="146" customFormat="1" hidden="1">
      <c r="A61" s="286"/>
      <c r="B61" s="287" t="s">
        <v>135</v>
      </c>
      <c r="C61" s="286" t="s">
        <v>130</v>
      </c>
      <c r="D61" s="307">
        <v>32</v>
      </c>
      <c r="E61" s="310">
        <v>35</v>
      </c>
      <c r="F61" s="310">
        <v>37</v>
      </c>
      <c r="G61" s="310">
        <v>42</v>
      </c>
      <c r="H61" s="310">
        <v>44.5</v>
      </c>
      <c r="I61" s="310">
        <v>46</v>
      </c>
      <c r="J61" s="310">
        <v>50</v>
      </c>
      <c r="K61" s="310">
        <v>50</v>
      </c>
      <c r="L61" s="310">
        <v>52</v>
      </c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</row>
    <row r="62" spans="1:75">
      <c r="A62" s="286"/>
      <c r="B62" s="287"/>
      <c r="C62" s="286"/>
      <c r="D62" s="307"/>
      <c r="E62" s="310"/>
      <c r="F62" s="310"/>
      <c r="G62" s="310"/>
      <c r="H62" s="310"/>
      <c r="I62" s="310"/>
      <c r="J62" s="310"/>
      <c r="K62" s="310"/>
      <c r="L62" s="310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</row>
    <row r="63" spans="1:75" s="443" customFormat="1">
      <c r="A63" s="433">
        <v>2</v>
      </c>
      <c r="B63" s="434" t="s">
        <v>136</v>
      </c>
      <c r="C63" s="435"/>
      <c r="D63" s="435"/>
      <c r="E63" s="436"/>
      <c r="F63" s="436"/>
      <c r="G63" s="436"/>
      <c r="H63" s="436"/>
      <c r="I63" s="436"/>
      <c r="J63" s="436"/>
      <c r="K63" s="436"/>
      <c r="L63" s="436"/>
    </row>
    <row r="64" spans="1:75" ht="31.5">
      <c r="A64" s="282"/>
      <c r="B64" s="283" t="s">
        <v>137</v>
      </c>
      <c r="C64" s="346"/>
      <c r="D64" s="347">
        <v>64706</v>
      </c>
      <c r="E64" s="347">
        <v>74495</v>
      </c>
      <c r="F64" s="347">
        <v>87782</v>
      </c>
      <c r="G64" s="347">
        <v>92148</v>
      </c>
      <c r="H64" s="311">
        <v>87155</v>
      </c>
      <c r="I64" s="311">
        <f>I67+I70+I73+I76+I78+I80+I81</f>
        <v>131568</v>
      </c>
      <c r="J64" s="311">
        <f>J67+J70+J73+J76+J78+J80+J81</f>
        <v>139053</v>
      </c>
      <c r="K64" s="311">
        <f>K67+K70+K73+K76+K78+K80+K81</f>
        <v>145925</v>
      </c>
      <c r="L64" s="311">
        <f>L67+L70+L73+L76+L78+L80+L81</f>
        <v>155510</v>
      </c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</row>
    <row r="65" spans="1:29" s="136" customFormat="1">
      <c r="A65" s="282" t="s">
        <v>138</v>
      </c>
      <c r="B65" s="283" t="s">
        <v>139</v>
      </c>
      <c r="C65" s="282" t="s">
        <v>140</v>
      </c>
      <c r="D65" s="312">
        <v>1749</v>
      </c>
      <c r="E65" s="312">
        <v>1752</v>
      </c>
      <c r="F65" s="312">
        <v>1765</v>
      </c>
      <c r="G65" s="312">
        <v>1660</v>
      </c>
      <c r="H65" s="312">
        <v>2177</v>
      </c>
      <c r="I65" s="348">
        <v>1752</v>
      </c>
      <c r="J65" s="312">
        <v>2050</v>
      </c>
      <c r="K65" s="312">
        <v>2050</v>
      </c>
      <c r="L65" s="312">
        <v>2050</v>
      </c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</row>
    <row r="66" spans="1:29">
      <c r="A66" s="286"/>
      <c r="B66" s="287" t="s">
        <v>141</v>
      </c>
      <c r="C66" s="286" t="s">
        <v>91</v>
      </c>
      <c r="D66" s="310">
        <v>91.6</v>
      </c>
      <c r="E66" s="310">
        <f>298*330/1000</f>
        <v>98.34</v>
      </c>
      <c r="F66" s="310">
        <f>310*330/1000</f>
        <v>102.3</v>
      </c>
      <c r="G66" s="313"/>
      <c r="H66" s="313"/>
      <c r="I66" s="310">
        <v>101</v>
      </c>
      <c r="J66" s="310">
        <f>310*330/1000</f>
        <v>102.3</v>
      </c>
      <c r="K66" s="313">
        <v>103</v>
      </c>
      <c r="L66" s="313">
        <v>103</v>
      </c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</row>
    <row r="67" spans="1:29" s="220" customFormat="1">
      <c r="A67" s="286"/>
      <c r="B67" s="421" t="s">
        <v>142</v>
      </c>
      <c r="C67" s="422" t="s">
        <v>130</v>
      </c>
      <c r="D67" s="423">
        <f>D66*90</f>
        <v>8244</v>
      </c>
      <c r="E67" s="423">
        <f>E66*90</f>
        <v>8850.6</v>
      </c>
      <c r="F67" s="423">
        <f>F66*90</f>
        <v>9207</v>
      </c>
      <c r="G67" s="423">
        <v>2800</v>
      </c>
      <c r="H67" s="423">
        <v>3530</v>
      </c>
      <c r="I67" s="423">
        <f>I66*90</f>
        <v>9090</v>
      </c>
      <c r="J67" s="423">
        <f>J66*90</f>
        <v>9207</v>
      </c>
      <c r="K67" s="423">
        <f>K66*90</f>
        <v>9270</v>
      </c>
      <c r="L67" s="423">
        <f>L66*90</f>
        <v>9270</v>
      </c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</row>
    <row r="68" spans="1:29" s="136" customFormat="1">
      <c r="A68" s="282" t="s">
        <v>143</v>
      </c>
      <c r="B68" s="283" t="s">
        <v>144</v>
      </c>
      <c r="C68" s="282" t="s">
        <v>140</v>
      </c>
      <c r="D68" s="312">
        <v>2405</v>
      </c>
      <c r="E68" s="312">
        <v>2450</v>
      </c>
      <c r="F68" s="312">
        <v>2500</v>
      </c>
      <c r="G68" s="349">
        <v>1760</v>
      </c>
      <c r="H68" s="349">
        <v>2224</v>
      </c>
      <c r="I68" s="348">
        <v>2486</v>
      </c>
      <c r="J68" s="316">
        <v>2500</v>
      </c>
      <c r="K68" s="314">
        <v>2530</v>
      </c>
      <c r="L68" s="314">
        <v>2600</v>
      </c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</row>
    <row r="69" spans="1:29">
      <c r="A69" s="286"/>
      <c r="B69" s="287" t="s">
        <v>141</v>
      </c>
      <c r="C69" s="286" t="s">
        <v>91</v>
      </c>
      <c r="D69" s="350">
        <v>147.30000000000001</v>
      </c>
      <c r="E69" s="315">
        <f>800*220/1000</f>
        <v>176</v>
      </c>
      <c r="F69" s="315">
        <f>850*220/1000</f>
        <v>187</v>
      </c>
      <c r="G69" s="336"/>
      <c r="H69" s="336"/>
      <c r="I69" s="350">
        <v>160</v>
      </c>
      <c r="J69" s="315">
        <v>170</v>
      </c>
      <c r="K69" s="315">
        <v>172</v>
      </c>
      <c r="L69" s="336">
        <v>175</v>
      </c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239"/>
      <c r="AB69" s="239"/>
      <c r="AC69" s="239"/>
    </row>
    <row r="70" spans="1:29" s="220" customFormat="1">
      <c r="A70" s="286"/>
      <c r="B70" s="421" t="s">
        <v>142</v>
      </c>
      <c r="C70" s="422" t="s">
        <v>130</v>
      </c>
      <c r="D70" s="424">
        <f>D69*120</f>
        <v>17676</v>
      </c>
      <c r="E70" s="424">
        <f>E69*120</f>
        <v>21120</v>
      </c>
      <c r="F70" s="424">
        <f>F69*120</f>
        <v>22440</v>
      </c>
      <c r="G70" s="423">
        <v>8900</v>
      </c>
      <c r="H70" s="423">
        <v>14200</v>
      </c>
      <c r="I70" s="424">
        <f>I69*120</f>
        <v>19200</v>
      </c>
      <c r="J70" s="424">
        <f>J69*110</f>
        <v>18700</v>
      </c>
      <c r="K70" s="424">
        <f>K69*110</f>
        <v>18920</v>
      </c>
      <c r="L70" s="424">
        <f>L69*110</f>
        <v>19250</v>
      </c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</row>
    <row r="71" spans="1:29" s="136" customFormat="1">
      <c r="A71" s="282" t="s">
        <v>145</v>
      </c>
      <c r="B71" s="283" t="s">
        <v>146</v>
      </c>
      <c r="C71" s="282" t="s">
        <v>140</v>
      </c>
      <c r="D71" s="312">
        <v>8454</v>
      </c>
      <c r="E71" s="312">
        <v>9000</v>
      </c>
      <c r="F71" s="312">
        <v>9000</v>
      </c>
      <c r="G71" s="312"/>
      <c r="H71" s="312"/>
      <c r="I71" s="348">
        <v>8982</v>
      </c>
      <c r="J71" s="316">
        <v>9000</v>
      </c>
      <c r="K71" s="316">
        <v>9500</v>
      </c>
      <c r="L71" s="316">
        <v>10000</v>
      </c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</row>
    <row r="72" spans="1:29">
      <c r="A72" s="286"/>
      <c r="B72" s="287" t="s">
        <v>141</v>
      </c>
      <c r="C72" s="286" t="s">
        <v>91</v>
      </c>
      <c r="D72" s="310">
        <v>847</v>
      </c>
      <c r="E72" s="313">
        <f>14500*75/1000</f>
        <v>1087.5</v>
      </c>
      <c r="F72" s="313">
        <f>15500*75/1000</f>
        <v>1162.5</v>
      </c>
      <c r="G72" s="313"/>
      <c r="H72" s="313"/>
      <c r="I72" s="313">
        <v>1016</v>
      </c>
      <c r="J72" s="316">
        <v>1085</v>
      </c>
      <c r="K72" s="316">
        <v>1125</v>
      </c>
      <c r="L72" s="316">
        <v>1200</v>
      </c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</row>
    <row r="73" spans="1:29" s="220" customFormat="1" ht="15" customHeight="1">
      <c r="A73" s="286"/>
      <c r="B73" s="421" t="s">
        <v>142</v>
      </c>
      <c r="C73" s="422" t="s">
        <v>130</v>
      </c>
      <c r="D73" s="423">
        <f>D72*80</f>
        <v>67760</v>
      </c>
      <c r="E73" s="423">
        <f>E72*85</f>
        <v>92437.5</v>
      </c>
      <c r="F73" s="423">
        <f>F72*82</f>
        <v>95325</v>
      </c>
      <c r="G73" s="425">
        <v>1150</v>
      </c>
      <c r="H73" s="425">
        <v>850</v>
      </c>
      <c r="I73" s="423">
        <f>I72*65</f>
        <v>66040</v>
      </c>
      <c r="J73" s="423">
        <f>J72*65</f>
        <v>70525</v>
      </c>
      <c r="K73" s="423">
        <f>K72*65</f>
        <v>73125</v>
      </c>
      <c r="L73" s="423">
        <f>L72*65</f>
        <v>78000</v>
      </c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</row>
    <row r="74" spans="1:29" s="136" customFormat="1">
      <c r="A74" s="282" t="s">
        <v>147</v>
      </c>
      <c r="B74" s="283" t="s">
        <v>148</v>
      </c>
      <c r="C74" s="282" t="s">
        <v>149</v>
      </c>
      <c r="D74" s="317">
        <v>143.9</v>
      </c>
      <c r="E74" s="317">
        <v>150</v>
      </c>
      <c r="F74" s="317">
        <v>156</v>
      </c>
      <c r="G74" s="317">
        <v>220</v>
      </c>
      <c r="H74" s="317">
        <v>250</v>
      </c>
      <c r="I74" s="317">
        <v>300</v>
      </c>
      <c r="J74" s="317">
        <v>316</v>
      </c>
      <c r="K74" s="317">
        <v>340</v>
      </c>
      <c r="L74" s="317">
        <v>380</v>
      </c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</row>
    <row r="75" spans="1:29">
      <c r="A75" s="286"/>
      <c r="B75" s="287" t="s">
        <v>141</v>
      </c>
      <c r="C75" s="286" t="s">
        <v>91</v>
      </c>
      <c r="D75" s="310">
        <v>206</v>
      </c>
      <c r="E75" s="310">
        <f>168000*1.3/1000</f>
        <v>218.4</v>
      </c>
      <c r="F75" s="310">
        <f>180000*1.3/1000</f>
        <v>234</v>
      </c>
      <c r="G75" s="310"/>
      <c r="H75" s="310"/>
      <c r="I75" s="310">
        <v>245</v>
      </c>
      <c r="J75" s="310">
        <f>J74*0.9</f>
        <v>284.40000000000003</v>
      </c>
      <c r="K75" s="310">
        <f>K74*0.9</f>
        <v>306</v>
      </c>
      <c r="L75" s="313">
        <f>L74*0.9</f>
        <v>342</v>
      </c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</row>
    <row r="76" spans="1:29" s="220" customFormat="1">
      <c r="A76" s="299"/>
      <c r="B76" s="421" t="s">
        <v>142</v>
      </c>
      <c r="C76" s="422" t="s">
        <v>130</v>
      </c>
      <c r="D76" s="426">
        <f>D75*120</f>
        <v>24720</v>
      </c>
      <c r="E76" s="426">
        <f>E75*120</f>
        <v>26208</v>
      </c>
      <c r="F76" s="426">
        <f>F75*120</f>
        <v>28080</v>
      </c>
      <c r="G76" s="427"/>
      <c r="H76" s="427"/>
      <c r="I76" s="426">
        <f>I75*120</f>
        <v>29400</v>
      </c>
      <c r="J76" s="426">
        <f>J75*120</f>
        <v>34128.000000000007</v>
      </c>
      <c r="K76" s="426">
        <f>K75*120</f>
        <v>36720</v>
      </c>
      <c r="L76" s="426">
        <f>L75*120</f>
        <v>41040</v>
      </c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</row>
    <row r="77" spans="1:29" s="136" customFormat="1">
      <c r="A77" s="318" t="s">
        <v>321</v>
      </c>
      <c r="B77" s="319" t="s">
        <v>320</v>
      </c>
      <c r="C77" s="282" t="s">
        <v>322</v>
      </c>
      <c r="D77" s="282"/>
      <c r="E77" s="319"/>
      <c r="F77" s="319"/>
      <c r="G77" s="319"/>
      <c r="H77" s="319"/>
      <c r="I77" s="320">
        <v>1600</v>
      </c>
      <c r="J77" s="320">
        <v>1600</v>
      </c>
      <c r="K77" s="320">
        <v>1650</v>
      </c>
      <c r="L77" s="321">
        <v>1670</v>
      </c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</row>
    <row r="78" spans="1:29" s="224" customFormat="1">
      <c r="A78" s="318"/>
      <c r="B78" s="421" t="s">
        <v>142</v>
      </c>
      <c r="C78" s="416"/>
      <c r="D78" s="416"/>
      <c r="E78" s="428"/>
      <c r="F78" s="428"/>
      <c r="G78" s="428"/>
      <c r="H78" s="428"/>
      <c r="I78" s="425">
        <f>I77*3</f>
        <v>4800</v>
      </c>
      <c r="J78" s="425">
        <f>J77*3</f>
        <v>4800</v>
      </c>
      <c r="K78" s="425">
        <f>K77*3</f>
        <v>4950</v>
      </c>
      <c r="L78" s="425">
        <f>L77*3</f>
        <v>5010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</row>
    <row r="79" spans="1:29" s="224" customFormat="1">
      <c r="A79" s="318" t="s">
        <v>323</v>
      </c>
      <c r="B79" s="319" t="s">
        <v>324</v>
      </c>
      <c r="C79" s="282" t="s">
        <v>325</v>
      </c>
      <c r="D79" s="282"/>
      <c r="E79" s="319"/>
      <c r="F79" s="319"/>
      <c r="G79" s="319"/>
      <c r="H79" s="319"/>
      <c r="I79" s="322">
        <v>38000</v>
      </c>
      <c r="J79" s="322">
        <v>38000</v>
      </c>
      <c r="K79" s="322">
        <v>38000</v>
      </c>
      <c r="L79" s="322">
        <v>38000</v>
      </c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</row>
    <row r="80" spans="1:29" s="224" customFormat="1">
      <c r="A80" s="318"/>
      <c r="B80" s="421" t="s">
        <v>142</v>
      </c>
      <c r="C80" s="416"/>
      <c r="D80" s="416"/>
      <c r="E80" s="428"/>
      <c r="F80" s="428"/>
      <c r="G80" s="428"/>
      <c r="H80" s="428"/>
      <c r="I80" s="425">
        <f>I79*0.03</f>
        <v>1140</v>
      </c>
      <c r="J80" s="425">
        <f>J79*0.03</f>
        <v>1140</v>
      </c>
      <c r="K80" s="425">
        <f>K79*0.03</f>
        <v>1140</v>
      </c>
      <c r="L80" s="425">
        <f>L79*0.03</f>
        <v>1140</v>
      </c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</row>
    <row r="81" spans="1:32" s="224" customFormat="1">
      <c r="A81" s="318" t="s">
        <v>326</v>
      </c>
      <c r="B81" s="421" t="s">
        <v>327</v>
      </c>
      <c r="C81" s="416"/>
      <c r="D81" s="416"/>
      <c r="E81" s="428"/>
      <c r="F81" s="428"/>
      <c r="G81" s="428"/>
      <c r="H81" s="428"/>
      <c r="I81" s="425">
        <v>1898</v>
      </c>
      <c r="J81" s="425">
        <v>553</v>
      </c>
      <c r="K81" s="425">
        <v>1800</v>
      </c>
      <c r="L81" s="425">
        <v>1800</v>
      </c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</row>
    <row r="82" spans="1:32" s="224" customFormat="1">
      <c r="A82" s="318"/>
      <c r="B82" s="421"/>
      <c r="C82" s="416"/>
      <c r="D82" s="416"/>
      <c r="E82" s="428"/>
      <c r="F82" s="428"/>
      <c r="G82" s="428"/>
      <c r="H82" s="428"/>
      <c r="I82" s="425"/>
      <c r="J82" s="425"/>
      <c r="K82" s="425"/>
      <c r="L82" s="425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</row>
    <row r="83" spans="1:32" ht="33" hidden="1" customHeight="1">
      <c r="A83" s="141"/>
      <c r="B83" s="141"/>
      <c r="C83" s="141"/>
      <c r="D83" s="141"/>
      <c r="I83" s="141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</row>
    <row r="84" spans="1:32" ht="18" hidden="1" customHeight="1">
      <c r="A84" s="141"/>
      <c r="B84" s="141"/>
      <c r="C84" s="141"/>
      <c r="D84" s="141"/>
      <c r="I84" s="141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</row>
    <row r="85" spans="1:32" ht="18" hidden="1" customHeight="1">
      <c r="A85" s="141"/>
      <c r="B85" s="141"/>
      <c r="C85" s="141"/>
      <c r="D85" s="141"/>
      <c r="I85" s="141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</row>
    <row r="86" spans="1:32" ht="18" hidden="1" customHeight="1">
      <c r="A86" s="141"/>
      <c r="B86" s="141"/>
      <c r="C86" s="141"/>
      <c r="D86" s="141"/>
      <c r="I86" s="141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</row>
    <row r="87" spans="1:32" ht="18" customHeight="1">
      <c r="A87" s="141"/>
      <c r="B87" s="141"/>
      <c r="C87" s="141"/>
      <c r="D87" s="141"/>
      <c r="I87" s="141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6">
        <f>J111+965</f>
        <v>21820.25</v>
      </c>
      <c r="AB87" s="246"/>
      <c r="AC87" s="246"/>
    </row>
    <row r="88" spans="1:32" ht="18" customHeight="1">
      <c r="A88" s="286"/>
      <c r="B88" s="283"/>
      <c r="C88" s="303"/>
      <c r="D88" s="327"/>
      <c r="E88" s="327"/>
      <c r="F88" s="327"/>
      <c r="G88" s="327"/>
      <c r="H88" s="327"/>
      <c r="I88" s="323"/>
      <c r="J88" s="323"/>
      <c r="K88" s="323"/>
      <c r="L88" s="323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6"/>
      <c r="AB88" s="246"/>
      <c r="AC88" s="246"/>
    </row>
    <row r="89" spans="1:32">
      <c r="A89" s="433">
        <v>4</v>
      </c>
      <c r="B89" s="434" t="s">
        <v>158</v>
      </c>
      <c r="C89" s="435"/>
      <c r="D89" s="435"/>
      <c r="E89" s="436"/>
      <c r="F89" s="436"/>
      <c r="G89" s="436"/>
      <c r="H89" s="436"/>
      <c r="I89" s="437"/>
      <c r="J89" s="437"/>
      <c r="K89" s="437"/>
      <c r="L89" s="437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>
        <f>AB89-J111</f>
        <v>-0.25</v>
      </c>
      <c r="AB89" s="219">
        <v>20855</v>
      </c>
      <c r="AC89" s="219"/>
    </row>
    <row r="90" spans="1:32" ht="31.5">
      <c r="A90" s="282"/>
      <c r="B90" s="283" t="s">
        <v>159</v>
      </c>
      <c r="C90" s="286"/>
      <c r="D90" s="328">
        <f>D95+D96</f>
        <v>138624</v>
      </c>
      <c r="E90" s="328">
        <f>E95+E96</f>
        <v>142748</v>
      </c>
      <c r="F90" s="328">
        <f>F95+F96</f>
        <v>149500</v>
      </c>
      <c r="G90" s="328">
        <f>G95+G96</f>
        <v>164200</v>
      </c>
      <c r="H90" s="328">
        <f>H95+H96</f>
        <v>174000</v>
      </c>
      <c r="I90" s="328">
        <f>I95+I96+I101+I102+I94</f>
        <v>266550</v>
      </c>
      <c r="J90" s="328">
        <f>J95+J96+J101+J102+J94</f>
        <v>248550</v>
      </c>
      <c r="K90" s="328">
        <f>K95+K96+K101+K102+K94</f>
        <v>283550</v>
      </c>
      <c r="L90" s="328">
        <f>L95+L96+L101+L102+L94</f>
        <v>358300</v>
      </c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F90" s="141">
        <v>265550</v>
      </c>
    </row>
    <row r="91" spans="1:32" s="148" customFormat="1">
      <c r="A91" s="286" t="s">
        <v>164</v>
      </c>
      <c r="B91" s="287" t="s">
        <v>165</v>
      </c>
      <c r="C91" s="286"/>
      <c r="D91" s="329"/>
      <c r="E91" s="329"/>
      <c r="F91" s="329"/>
      <c r="G91" s="329"/>
      <c r="H91" s="330"/>
      <c r="I91" s="329"/>
      <c r="J91" s="329"/>
      <c r="K91" s="329"/>
      <c r="L91" s="337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248"/>
      <c r="AB91" s="248"/>
      <c r="AC91" s="248"/>
    </row>
    <row r="92" spans="1:32" s="149" customFormat="1">
      <c r="A92" s="286"/>
      <c r="B92" s="304" t="s">
        <v>167</v>
      </c>
      <c r="C92" s="286" t="s">
        <v>166</v>
      </c>
      <c r="D92" s="331">
        <v>0.42</v>
      </c>
      <c r="E92" s="331">
        <v>0.45</v>
      </c>
      <c r="F92" s="331">
        <v>0.45</v>
      </c>
      <c r="G92" s="331">
        <v>0.4</v>
      </c>
      <c r="H92" s="331">
        <v>0.2</v>
      </c>
      <c r="I92" s="331">
        <v>0.15</v>
      </c>
      <c r="J92" s="331">
        <v>0.15</v>
      </c>
      <c r="K92" s="331">
        <v>0.15</v>
      </c>
      <c r="L92" s="325">
        <v>0.9</v>
      </c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249"/>
      <c r="AB92" s="249"/>
      <c r="AC92" s="249"/>
    </row>
    <row r="93" spans="1:32" s="149" customFormat="1">
      <c r="A93" s="286"/>
      <c r="B93" s="287" t="s">
        <v>168</v>
      </c>
      <c r="C93" s="286" t="s">
        <v>166</v>
      </c>
      <c r="D93" s="325">
        <v>85</v>
      </c>
      <c r="E93" s="325">
        <v>90</v>
      </c>
      <c r="F93" s="325">
        <v>101</v>
      </c>
      <c r="G93" s="325">
        <v>130</v>
      </c>
      <c r="H93" s="325">
        <v>130</v>
      </c>
      <c r="I93" s="299">
        <v>165</v>
      </c>
      <c r="J93" s="325">
        <v>180</v>
      </c>
      <c r="K93" s="325">
        <v>200</v>
      </c>
      <c r="L93" s="338">
        <v>230</v>
      </c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  <c r="Y93" s="357"/>
      <c r="Z93" s="357"/>
      <c r="AA93" s="249"/>
      <c r="AB93" s="249"/>
      <c r="AC93" s="249"/>
    </row>
    <row r="94" spans="1:32" s="149" customFormat="1">
      <c r="A94" s="286"/>
      <c r="B94" s="283" t="s">
        <v>169</v>
      </c>
      <c r="C94" s="282"/>
      <c r="D94" s="332"/>
      <c r="E94" s="332"/>
      <c r="F94" s="332"/>
      <c r="G94" s="332"/>
      <c r="H94" s="332"/>
      <c r="I94" s="332">
        <f>I92*12000</f>
        <v>1800</v>
      </c>
      <c r="J94" s="332">
        <f>J92*12000</f>
        <v>1800</v>
      </c>
      <c r="K94" s="332">
        <f>K92*12000</f>
        <v>1800</v>
      </c>
      <c r="L94" s="332">
        <f>L92*12000</f>
        <v>10800</v>
      </c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  <c r="AA94" s="249"/>
      <c r="AB94" s="249"/>
      <c r="AC94" s="249"/>
    </row>
    <row r="95" spans="1:32" s="149" customFormat="1">
      <c r="A95" s="284"/>
      <c r="B95" s="283" t="s">
        <v>170</v>
      </c>
      <c r="C95" s="282" t="s">
        <v>171</v>
      </c>
      <c r="D95" s="337">
        <v>93500</v>
      </c>
      <c r="E95" s="337">
        <v>99000</v>
      </c>
      <c r="F95" s="337">
        <v>111100</v>
      </c>
      <c r="G95" s="337">
        <v>143000</v>
      </c>
      <c r="H95" s="337">
        <v>147000</v>
      </c>
      <c r="I95" s="337">
        <f>I93*1000</f>
        <v>165000</v>
      </c>
      <c r="J95" s="337">
        <f>J93*1100</f>
        <v>198000</v>
      </c>
      <c r="K95" s="337">
        <f>K93*1300</f>
        <v>260000</v>
      </c>
      <c r="L95" s="337">
        <f>L93*1300</f>
        <v>299000</v>
      </c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249"/>
      <c r="AB95" s="249"/>
      <c r="AC95" s="249"/>
    </row>
    <row r="96" spans="1:32" s="148" customFormat="1" ht="35.25" customHeight="1">
      <c r="A96" s="284"/>
      <c r="B96" s="283" t="s">
        <v>172</v>
      </c>
      <c r="C96" s="282" t="s">
        <v>171</v>
      </c>
      <c r="D96" s="337">
        <v>45124</v>
      </c>
      <c r="E96" s="337">
        <v>43748</v>
      </c>
      <c r="F96" s="337">
        <v>38400</v>
      </c>
      <c r="G96" s="321">
        <v>21200</v>
      </c>
      <c r="H96" s="321">
        <v>27000</v>
      </c>
      <c r="I96" s="337">
        <f>I97+I99+I101</f>
        <v>92250</v>
      </c>
      <c r="J96" s="337">
        <f>J97+J99+J101</f>
        <v>40000</v>
      </c>
      <c r="K96" s="337">
        <f>K97+K99+K101</f>
        <v>14500</v>
      </c>
      <c r="L96" s="337">
        <f>L97+L99+L101</f>
        <v>41000</v>
      </c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248"/>
      <c r="AB96" s="248"/>
      <c r="AC96" s="248"/>
    </row>
    <row r="97" spans="1:32" s="150" customFormat="1">
      <c r="A97" s="303"/>
      <c r="B97" s="339" t="s">
        <v>173</v>
      </c>
      <c r="C97" s="299"/>
      <c r="D97" s="338"/>
      <c r="E97" s="338"/>
      <c r="F97" s="338"/>
      <c r="G97" s="322"/>
      <c r="H97" s="322"/>
      <c r="I97" s="338">
        <f>I98*300</f>
        <v>33000</v>
      </c>
      <c r="J97" s="338">
        <f>J98*300</f>
        <v>36000</v>
      </c>
      <c r="K97" s="338">
        <f>K98*300</f>
        <v>12000</v>
      </c>
      <c r="L97" s="338">
        <f>L98*350</f>
        <v>38500</v>
      </c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240"/>
      <c r="AB97" s="240"/>
      <c r="AC97" s="240"/>
    </row>
    <row r="98" spans="1:32">
      <c r="A98" s="303"/>
      <c r="B98" s="339" t="s">
        <v>174</v>
      </c>
      <c r="C98" s="299" t="s">
        <v>91</v>
      </c>
      <c r="D98" s="338"/>
      <c r="E98" s="338"/>
      <c r="F98" s="338"/>
      <c r="G98" s="322"/>
      <c r="H98" s="322"/>
      <c r="I98" s="338">
        <v>110</v>
      </c>
      <c r="J98" s="338">
        <v>120</v>
      </c>
      <c r="K98" s="338">
        <v>40</v>
      </c>
      <c r="L98" s="326">
        <v>110</v>
      </c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</row>
    <row r="99" spans="1:32">
      <c r="A99" s="303"/>
      <c r="B99" s="340" t="s">
        <v>175</v>
      </c>
      <c r="C99" s="299"/>
      <c r="D99" s="299"/>
      <c r="E99" s="299"/>
      <c r="F99" s="299"/>
      <c r="G99" s="299"/>
      <c r="H99" s="299"/>
      <c r="I99" s="313">
        <f>I100*250</f>
        <v>56250</v>
      </c>
      <c r="J99" s="338">
        <v>0</v>
      </c>
      <c r="K99" s="338">
        <v>0</v>
      </c>
      <c r="L99" s="326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</row>
    <row r="100" spans="1:32">
      <c r="A100" s="303"/>
      <c r="B100" s="339" t="s">
        <v>174</v>
      </c>
      <c r="C100" s="299" t="s">
        <v>91</v>
      </c>
      <c r="D100" s="338"/>
      <c r="E100" s="338"/>
      <c r="F100" s="338"/>
      <c r="G100" s="322"/>
      <c r="H100" s="322"/>
      <c r="I100" s="299">
        <v>225</v>
      </c>
      <c r="J100" s="338">
        <v>0</v>
      </c>
      <c r="K100" s="338">
        <v>0</v>
      </c>
      <c r="L100" s="299"/>
      <c r="AF100" s="226">
        <f>AF90-I90</f>
        <v>-1000</v>
      </c>
    </row>
    <row r="101" spans="1:32">
      <c r="A101" s="284"/>
      <c r="B101" s="340" t="s">
        <v>176</v>
      </c>
      <c r="C101" s="299"/>
      <c r="D101" s="338"/>
      <c r="E101" s="338"/>
      <c r="F101" s="338"/>
      <c r="G101" s="322"/>
      <c r="H101" s="322"/>
      <c r="I101" s="299">
        <v>3000</v>
      </c>
      <c r="J101" s="338">
        <v>4000</v>
      </c>
      <c r="K101" s="338">
        <v>2500</v>
      </c>
      <c r="L101" s="299">
        <v>2500</v>
      </c>
    </row>
    <row r="102" spans="1:32">
      <c r="A102" s="282" t="s">
        <v>177</v>
      </c>
      <c r="B102" s="283" t="s">
        <v>178</v>
      </c>
      <c r="C102" s="299"/>
      <c r="D102" s="338"/>
      <c r="E102" s="338"/>
      <c r="F102" s="338"/>
      <c r="G102" s="322"/>
      <c r="H102" s="322"/>
      <c r="I102" s="312">
        <f>I103*25</f>
        <v>4500</v>
      </c>
      <c r="J102" s="312">
        <f>J103*25</f>
        <v>4750</v>
      </c>
      <c r="K102" s="312">
        <f>K103*25</f>
        <v>4750</v>
      </c>
      <c r="L102" s="312">
        <f>L103*25</f>
        <v>5000</v>
      </c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</row>
    <row r="103" spans="1:32">
      <c r="A103" s="333"/>
      <c r="B103" s="334" t="s">
        <v>179</v>
      </c>
      <c r="C103" s="335"/>
      <c r="D103" s="341"/>
      <c r="E103" s="341"/>
      <c r="F103" s="341"/>
      <c r="G103" s="342"/>
      <c r="H103" s="342"/>
      <c r="I103" s="351">
        <v>180</v>
      </c>
      <c r="J103" s="351">
        <v>190</v>
      </c>
      <c r="K103" s="341">
        <v>190</v>
      </c>
      <c r="L103" s="335">
        <v>200</v>
      </c>
    </row>
    <row r="105" spans="1:32">
      <c r="A105" s="433">
        <v>3</v>
      </c>
      <c r="B105" s="434" t="s">
        <v>150</v>
      </c>
      <c r="C105" s="435"/>
      <c r="D105" s="435"/>
      <c r="E105" s="436"/>
      <c r="F105" s="436"/>
      <c r="G105" s="436"/>
      <c r="H105" s="436"/>
      <c r="I105" s="436"/>
      <c r="J105" s="436"/>
      <c r="K105" s="436"/>
      <c r="L105" s="436"/>
    </row>
    <row r="106" spans="1:32" ht="31.5">
      <c r="A106" s="282"/>
      <c r="B106" s="283" t="s">
        <v>151</v>
      </c>
      <c r="C106" s="286"/>
      <c r="D106" s="323" t="e">
        <f>#REF!</f>
        <v>#REF!</v>
      </c>
      <c r="E106" s="323" t="e">
        <f>#REF!</f>
        <v>#REF!</v>
      </c>
      <c r="F106" s="323" t="e">
        <f>#REF!</f>
        <v>#REF!</v>
      </c>
      <c r="G106" s="323" t="e">
        <f>#REF!</f>
        <v>#REF!</v>
      </c>
      <c r="H106" s="323" t="e">
        <f>#REF!</f>
        <v>#REF!</v>
      </c>
      <c r="I106" s="323">
        <f>I111</f>
        <v>19849.5</v>
      </c>
      <c r="J106" s="323">
        <f>J111</f>
        <v>20855.25</v>
      </c>
      <c r="K106" s="323">
        <f>K111</f>
        <v>21385</v>
      </c>
      <c r="L106" s="323">
        <f>L111</f>
        <v>21905</v>
      </c>
    </row>
    <row r="107" spans="1:32">
      <c r="A107" s="286" t="s">
        <v>152</v>
      </c>
      <c r="B107" s="287" t="s">
        <v>153</v>
      </c>
      <c r="C107" s="286" t="s">
        <v>90</v>
      </c>
      <c r="D107" s="324">
        <v>58.4</v>
      </c>
      <c r="E107" s="324">
        <v>58</v>
      </c>
      <c r="F107" s="324">
        <v>58.4</v>
      </c>
      <c r="G107" s="324">
        <v>58.4</v>
      </c>
      <c r="H107" s="324">
        <v>58.4</v>
      </c>
      <c r="I107" s="324">
        <v>56</v>
      </c>
      <c r="J107" s="324">
        <v>54</v>
      </c>
      <c r="K107" s="324">
        <v>54</v>
      </c>
      <c r="L107" s="324">
        <v>52</v>
      </c>
    </row>
    <row r="108" spans="1:32">
      <c r="A108" s="286">
        <v>3.2</v>
      </c>
      <c r="B108" s="287" t="s">
        <v>155</v>
      </c>
      <c r="C108" s="286" t="s">
        <v>91</v>
      </c>
      <c r="D108" s="324">
        <v>138</v>
      </c>
      <c r="E108" s="324">
        <v>145.6</v>
      </c>
      <c r="F108" s="324">
        <v>169.23</v>
      </c>
      <c r="G108" s="324">
        <v>215.5</v>
      </c>
      <c r="H108" s="324">
        <v>257</v>
      </c>
      <c r="I108" s="324">
        <f>I109+I110</f>
        <v>300.75</v>
      </c>
      <c r="J108" s="324">
        <f>J109+J110</f>
        <v>320.85000000000002</v>
      </c>
      <c r="K108" s="324">
        <f>K109+K110</f>
        <v>329</v>
      </c>
      <c r="L108" s="324">
        <f>L109+L110</f>
        <v>337</v>
      </c>
    </row>
    <row r="109" spans="1:32">
      <c r="A109" s="286"/>
      <c r="B109" s="287" t="s">
        <v>156</v>
      </c>
      <c r="C109" s="286" t="s">
        <v>91</v>
      </c>
      <c r="D109" s="324">
        <v>19</v>
      </c>
      <c r="E109" s="324">
        <v>23.6</v>
      </c>
      <c r="F109" s="324">
        <v>37.229999999999997</v>
      </c>
      <c r="G109" s="324">
        <v>45.5</v>
      </c>
      <c r="H109" s="324">
        <v>55</v>
      </c>
      <c r="I109" s="324">
        <v>94.75</v>
      </c>
      <c r="J109" s="324">
        <v>110.85</v>
      </c>
      <c r="K109" s="324">
        <v>116</v>
      </c>
      <c r="L109" s="324">
        <v>120</v>
      </c>
    </row>
    <row r="110" spans="1:32">
      <c r="A110" s="286"/>
      <c r="B110" s="287" t="s">
        <v>157</v>
      </c>
      <c r="C110" s="286" t="s">
        <v>91</v>
      </c>
      <c r="D110" s="325">
        <v>119</v>
      </c>
      <c r="E110" s="325">
        <v>122</v>
      </c>
      <c r="F110" s="325">
        <v>132</v>
      </c>
      <c r="G110" s="325">
        <v>170</v>
      </c>
      <c r="H110" s="325">
        <v>202</v>
      </c>
      <c r="I110" s="325">
        <v>206</v>
      </c>
      <c r="J110" s="326">
        <v>210</v>
      </c>
      <c r="K110" s="326">
        <v>213</v>
      </c>
      <c r="L110" s="326">
        <v>217</v>
      </c>
    </row>
    <row r="111" spans="1:32">
      <c r="A111" s="286"/>
      <c r="B111" s="283" t="s">
        <v>96</v>
      </c>
      <c r="C111" s="303"/>
      <c r="D111" s="327"/>
      <c r="E111" s="327"/>
      <c r="F111" s="327"/>
      <c r="G111" s="327"/>
      <c r="H111" s="327"/>
      <c r="I111" s="323">
        <f>I108*66</f>
        <v>19849.5</v>
      </c>
      <c r="J111" s="323">
        <f>J108*65</f>
        <v>20855.25</v>
      </c>
      <c r="K111" s="323">
        <f>K108*65</f>
        <v>21385</v>
      </c>
      <c r="L111" s="323">
        <f>L108*65</f>
        <v>21905</v>
      </c>
    </row>
  </sheetData>
  <mergeCells count="8">
    <mergeCell ref="A3:L3"/>
    <mergeCell ref="A4:A5"/>
    <mergeCell ref="B4:B5"/>
    <mergeCell ref="C4:C5"/>
    <mergeCell ref="D4:D5"/>
    <mergeCell ref="E4:H4"/>
    <mergeCell ref="I4:I5"/>
    <mergeCell ref="J4:L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7"/>
  <sheetViews>
    <sheetView topLeftCell="A43" workbookViewId="0">
      <selection activeCell="Q35" sqref="Q35"/>
    </sheetView>
  </sheetViews>
  <sheetFormatPr defaultRowHeight="18.75"/>
  <cols>
    <col min="1" max="1" width="13.25" style="153" bestFit="1" customWidth="1"/>
    <col min="2" max="2" width="42.25" style="208" customWidth="1"/>
    <col min="3" max="3" width="10.625" style="154" customWidth="1"/>
    <col min="4" max="4" width="12" style="154" hidden="1" customWidth="1"/>
    <col min="5" max="5" width="15.625" style="154" hidden="1" customWidth="1"/>
    <col min="6" max="6" width="12" style="154" hidden="1" customWidth="1"/>
    <col min="7" max="7" width="14.75" style="154" hidden="1" customWidth="1"/>
    <col min="8" max="8" width="17" style="154" customWidth="1"/>
    <col min="9" max="9" width="13.375" style="154" customWidth="1"/>
    <col min="10" max="10" width="15.25" style="154" hidden="1" customWidth="1"/>
    <col min="11" max="11" width="14.625" style="154" hidden="1" customWidth="1"/>
    <col min="12" max="12" width="14.75" style="154" customWidth="1"/>
    <col min="13" max="13" width="13.625" style="154" customWidth="1"/>
    <col min="14" max="15" width="13.625" style="154" hidden="1" customWidth="1"/>
    <col min="16" max="16" width="15.625" style="154" customWidth="1"/>
    <col min="17" max="17" width="13.625" style="154" customWidth="1"/>
    <col min="18" max="253" width="9.125" style="154"/>
    <col min="254" max="254" width="13.25" style="154" bestFit="1" customWidth="1"/>
    <col min="255" max="255" width="42.25" style="154" customWidth="1"/>
    <col min="256" max="256" width="10.625" style="154" customWidth="1"/>
    <col min="257" max="260" width="0" style="154" hidden="1" customWidth="1"/>
    <col min="261" max="261" width="17" style="154" customWidth="1"/>
    <col min="262" max="262" width="13.375" style="154" customWidth="1"/>
    <col min="263" max="264" width="0" style="154" hidden="1" customWidth="1"/>
    <col min="265" max="265" width="14.75" style="154" customWidth="1"/>
    <col min="266" max="268" width="13.625" style="154" customWidth="1"/>
    <col min="269" max="269" width="15.625" style="154" customWidth="1"/>
    <col min="270" max="270" width="13.625" style="154" customWidth="1"/>
    <col min="271" max="271" width="9.125" style="154"/>
    <col min="272" max="272" width="20" style="154" bestFit="1" customWidth="1"/>
    <col min="273" max="509" width="9.125" style="154"/>
    <col min="510" max="510" width="13.25" style="154" bestFit="1" customWidth="1"/>
    <col min="511" max="511" width="42.25" style="154" customWidth="1"/>
    <col min="512" max="512" width="10.625" style="154" customWidth="1"/>
    <col min="513" max="516" width="0" style="154" hidden="1" customWidth="1"/>
    <col min="517" max="517" width="17" style="154" customWidth="1"/>
    <col min="518" max="518" width="13.375" style="154" customWidth="1"/>
    <col min="519" max="520" width="0" style="154" hidden="1" customWidth="1"/>
    <col min="521" max="521" width="14.75" style="154" customWidth="1"/>
    <col min="522" max="524" width="13.625" style="154" customWidth="1"/>
    <col min="525" max="525" width="15.625" style="154" customWidth="1"/>
    <col min="526" max="526" width="13.625" style="154" customWidth="1"/>
    <col min="527" max="527" width="9.125" style="154"/>
    <col min="528" max="528" width="20" style="154" bestFit="1" customWidth="1"/>
    <col min="529" max="765" width="9.125" style="154"/>
    <col min="766" max="766" width="13.25" style="154" bestFit="1" customWidth="1"/>
    <col min="767" max="767" width="42.25" style="154" customWidth="1"/>
    <col min="768" max="768" width="10.625" style="154" customWidth="1"/>
    <col min="769" max="772" width="0" style="154" hidden="1" customWidth="1"/>
    <col min="773" max="773" width="17" style="154" customWidth="1"/>
    <col min="774" max="774" width="13.375" style="154" customWidth="1"/>
    <col min="775" max="776" width="0" style="154" hidden="1" customWidth="1"/>
    <col min="777" max="777" width="14.75" style="154" customWidth="1"/>
    <col min="778" max="780" width="13.625" style="154" customWidth="1"/>
    <col min="781" max="781" width="15.625" style="154" customWidth="1"/>
    <col min="782" max="782" width="13.625" style="154" customWidth="1"/>
    <col min="783" max="783" width="9.125" style="154"/>
    <col min="784" max="784" width="20" style="154" bestFit="1" customWidth="1"/>
    <col min="785" max="1021" width="9.125" style="154"/>
    <col min="1022" max="1022" width="13.25" style="154" bestFit="1" customWidth="1"/>
    <col min="1023" max="1023" width="42.25" style="154" customWidth="1"/>
    <col min="1024" max="1024" width="10.625" style="154" customWidth="1"/>
    <col min="1025" max="1028" width="0" style="154" hidden="1" customWidth="1"/>
    <col min="1029" max="1029" width="17" style="154" customWidth="1"/>
    <col min="1030" max="1030" width="13.375" style="154" customWidth="1"/>
    <col min="1031" max="1032" width="0" style="154" hidden="1" customWidth="1"/>
    <col min="1033" max="1033" width="14.75" style="154" customWidth="1"/>
    <col min="1034" max="1036" width="13.625" style="154" customWidth="1"/>
    <col min="1037" max="1037" width="15.625" style="154" customWidth="1"/>
    <col min="1038" max="1038" width="13.625" style="154" customWidth="1"/>
    <col min="1039" max="1039" width="9.125" style="154"/>
    <col min="1040" max="1040" width="20" style="154" bestFit="1" customWidth="1"/>
    <col min="1041" max="1277" width="9.125" style="154"/>
    <col min="1278" max="1278" width="13.25" style="154" bestFit="1" customWidth="1"/>
    <col min="1279" max="1279" width="42.25" style="154" customWidth="1"/>
    <col min="1280" max="1280" width="10.625" style="154" customWidth="1"/>
    <col min="1281" max="1284" width="0" style="154" hidden="1" customWidth="1"/>
    <col min="1285" max="1285" width="17" style="154" customWidth="1"/>
    <col min="1286" max="1286" width="13.375" style="154" customWidth="1"/>
    <col min="1287" max="1288" width="0" style="154" hidden="1" customWidth="1"/>
    <col min="1289" max="1289" width="14.75" style="154" customWidth="1"/>
    <col min="1290" max="1292" width="13.625" style="154" customWidth="1"/>
    <col min="1293" max="1293" width="15.625" style="154" customWidth="1"/>
    <col min="1294" max="1294" width="13.625" style="154" customWidth="1"/>
    <col min="1295" max="1295" width="9.125" style="154"/>
    <col min="1296" max="1296" width="20" style="154" bestFit="1" customWidth="1"/>
    <col min="1297" max="1533" width="9.125" style="154"/>
    <col min="1534" max="1534" width="13.25" style="154" bestFit="1" customWidth="1"/>
    <col min="1535" max="1535" width="42.25" style="154" customWidth="1"/>
    <col min="1536" max="1536" width="10.625" style="154" customWidth="1"/>
    <col min="1537" max="1540" width="0" style="154" hidden="1" customWidth="1"/>
    <col min="1541" max="1541" width="17" style="154" customWidth="1"/>
    <col min="1542" max="1542" width="13.375" style="154" customWidth="1"/>
    <col min="1543" max="1544" width="0" style="154" hidden="1" customWidth="1"/>
    <col min="1545" max="1545" width="14.75" style="154" customWidth="1"/>
    <col min="1546" max="1548" width="13.625" style="154" customWidth="1"/>
    <col min="1549" max="1549" width="15.625" style="154" customWidth="1"/>
    <col min="1550" max="1550" width="13.625" style="154" customWidth="1"/>
    <col min="1551" max="1551" width="9.125" style="154"/>
    <col min="1552" max="1552" width="20" style="154" bestFit="1" customWidth="1"/>
    <col min="1553" max="1789" width="9.125" style="154"/>
    <col min="1790" max="1790" width="13.25" style="154" bestFit="1" customWidth="1"/>
    <col min="1791" max="1791" width="42.25" style="154" customWidth="1"/>
    <col min="1792" max="1792" width="10.625" style="154" customWidth="1"/>
    <col min="1793" max="1796" width="0" style="154" hidden="1" customWidth="1"/>
    <col min="1797" max="1797" width="17" style="154" customWidth="1"/>
    <col min="1798" max="1798" width="13.375" style="154" customWidth="1"/>
    <col min="1799" max="1800" width="0" style="154" hidden="1" customWidth="1"/>
    <col min="1801" max="1801" width="14.75" style="154" customWidth="1"/>
    <col min="1802" max="1804" width="13.625" style="154" customWidth="1"/>
    <col min="1805" max="1805" width="15.625" style="154" customWidth="1"/>
    <col min="1806" max="1806" width="13.625" style="154" customWidth="1"/>
    <col min="1807" max="1807" width="9.125" style="154"/>
    <col min="1808" max="1808" width="20" style="154" bestFit="1" customWidth="1"/>
    <col min="1809" max="2045" width="9.125" style="154"/>
    <col min="2046" max="2046" width="13.25" style="154" bestFit="1" customWidth="1"/>
    <col min="2047" max="2047" width="42.25" style="154" customWidth="1"/>
    <col min="2048" max="2048" width="10.625" style="154" customWidth="1"/>
    <col min="2049" max="2052" width="0" style="154" hidden="1" customWidth="1"/>
    <col min="2053" max="2053" width="17" style="154" customWidth="1"/>
    <col min="2054" max="2054" width="13.375" style="154" customWidth="1"/>
    <col min="2055" max="2056" width="0" style="154" hidden="1" customWidth="1"/>
    <col min="2057" max="2057" width="14.75" style="154" customWidth="1"/>
    <col min="2058" max="2060" width="13.625" style="154" customWidth="1"/>
    <col min="2061" max="2061" width="15.625" style="154" customWidth="1"/>
    <col min="2062" max="2062" width="13.625" style="154" customWidth="1"/>
    <col min="2063" max="2063" width="9.125" style="154"/>
    <col min="2064" max="2064" width="20" style="154" bestFit="1" customWidth="1"/>
    <col min="2065" max="2301" width="9.125" style="154"/>
    <col min="2302" max="2302" width="13.25" style="154" bestFit="1" customWidth="1"/>
    <col min="2303" max="2303" width="42.25" style="154" customWidth="1"/>
    <col min="2304" max="2304" width="10.625" style="154" customWidth="1"/>
    <col min="2305" max="2308" width="0" style="154" hidden="1" customWidth="1"/>
    <col min="2309" max="2309" width="17" style="154" customWidth="1"/>
    <col min="2310" max="2310" width="13.375" style="154" customWidth="1"/>
    <col min="2311" max="2312" width="0" style="154" hidden="1" customWidth="1"/>
    <col min="2313" max="2313" width="14.75" style="154" customWidth="1"/>
    <col min="2314" max="2316" width="13.625" style="154" customWidth="1"/>
    <col min="2317" max="2317" width="15.625" style="154" customWidth="1"/>
    <col min="2318" max="2318" width="13.625" style="154" customWidth="1"/>
    <col min="2319" max="2319" width="9.125" style="154"/>
    <col min="2320" max="2320" width="20" style="154" bestFit="1" customWidth="1"/>
    <col min="2321" max="2557" width="9.125" style="154"/>
    <col min="2558" max="2558" width="13.25" style="154" bestFit="1" customWidth="1"/>
    <col min="2559" max="2559" width="42.25" style="154" customWidth="1"/>
    <col min="2560" max="2560" width="10.625" style="154" customWidth="1"/>
    <col min="2561" max="2564" width="0" style="154" hidden="1" customWidth="1"/>
    <col min="2565" max="2565" width="17" style="154" customWidth="1"/>
    <col min="2566" max="2566" width="13.375" style="154" customWidth="1"/>
    <col min="2567" max="2568" width="0" style="154" hidden="1" customWidth="1"/>
    <col min="2569" max="2569" width="14.75" style="154" customWidth="1"/>
    <col min="2570" max="2572" width="13.625" style="154" customWidth="1"/>
    <col min="2573" max="2573" width="15.625" style="154" customWidth="1"/>
    <col min="2574" max="2574" width="13.625" style="154" customWidth="1"/>
    <col min="2575" max="2575" width="9.125" style="154"/>
    <col min="2576" max="2576" width="20" style="154" bestFit="1" customWidth="1"/>
    <col min="2577" max="2813" width="9.125" style="154"/>
    <col min="2814" max="2814" width="13.25" style="154" bestFit="1" customWidth="1"/>
    <col min="2815" max="2815" width="42.25" style="154" customWidth="1"/>
    <col min="2816" max="2816" width="10.625" style="154" customWidth="1"/>
    <col min="2817" max="2820" width="0" style="154" hidden="1" customWidth="1"/>
    <col min="2821" max="2821" width="17" style="154" customWidth="1"/>
    <col min="2822" max="2822" width="13.375" style="154" customWidth="1"/>
    <col min="2823" max="2824" width="0" style="154" hidden="1" customWidth="1"/>
    <col min="2825" max="2825" width="14.75" style="154" customWidth="1"/>
    <col min="2826" max="2828" width="13.625" style="154" customWidth="1"/>
    <col min="2829" max="2829" width="15.625" style="154" customWidth="1"/>
    <col min="2830" max="2830" width="13.625" style="154" customWidth="1"/>
    <col min="2831" max="2831" width="9.125" style="154"/>
    <col min="2832" max="2832" width="20" style="154" bestFit="1" customWidth="1"/>
    <col min="2833" max="3069" width="9.125" style="154"/>
    <col min="3070" max="3070" width="13.25" style="154" bestFit="1" customWidth="1"/>
    <col min="3071" max="3071" width="42.25" style="154" customWidth="1"/>
    <col min="3072" max="3072" width="10.625" style="154" customWidth="1"/>
    <col min="3073" max="3076" width="0" style="154" hidden="1" customWidth="1"/>
    <col min="3077" max="3077" width="17" style="154" customWidth="1"/>
    <col min="3078" max="3078" width="13.375" style="154" customWidth="1"/>
    <col min="3079" max="3080" width="0" style="154" hidden="1" customWidth="1"/>
    <col min="3081" max="3081" width="14.75" style="154" customWidth="1"/>
    <col min="3082" max="3084" width="13.625" style="154" customWidth="1"/>
    <col min="3085" max="3085" width="15.625" style="154" customWidth="1"/>
    <col min="3086" max="3086" width="13.625" style="154" customWidth="1"/>
    <col min="3087" max="3087" width="9.125" style="154"/>
    <col min="3088" max="3088" width="20" style="154" bestFit="1" customWidth="1"/>
    <col min="3089" max="3325" width="9.125" style="154"/>
    <col min="3326" max="3326" width="13.25" style="154" bestFit="1" customWidth="1"/>
    <col min="3327" max="3327" width="42.25" style="154" customWidth="1"/>
    <col min="3328" max="3328" width="10.625" style="154" customWidth="1"/>
    <col min="3329" max="3332" width="0" style="154" hidden="1" customWidth="1"/>
    <col min="3333" max="3333" width="17" style="154" customWidth="1"/>
    <col min="3334" max="3334" width="13.375" style="154" customWidth="1"/>
    <col min="3335" max="3336" width="0" style="154" hidden="1" customWidth="1"/>
    <col min="3337" max="3337" width="14.75" style="154" customWidth="1"/>
    <col min="3338" max="3340" width="13.625" style="154" customWidth="1"/>
    <col min="3341" max="3341" width="15.625" style="154" customWidth="1"/>
    <col min="3342" max="3342" width="13.625" style="154" customWidth="1"/>
    <col min="3343" max="3343" width="9.125" style="154"/>
    <col min="3344" max="3344" width="20" style="154" bestFit="1" customWidth="1"/>
    <col min="3345" max="3581" width="9.125" style="154"/>
    <col min="3582" max="3582" width="13.25" style="154" bestFit="1" customWidth="1"/>
    <col min="3583" max="3583" width="42.25" style="154" customWidth="1"/>
    <col min="3584" max="3584" width="10.625" style="154" customWidth="1"/>
    <col min="3585" max="3588" width="0" style="154" hidden="1" customWidth="1"/>
    <col min="3589" max="3589" width="17" style="154" customWidth="1"/>
    <col min="3590" max="3590" width="13.375" style="154" customWidth="1"/>
    <col min="3591" max="3592" width="0" style="154" hidden="1" customWidth="1"/>
    <col min="3593" max="3593" width="14.75" style="154" customWidth="1"/>
    <col min="3594" max="3596" width="13.625" style="154" customWidth="1"/>
    <col min="3597" max="3597" width="15.625" style="154" customWidth="1"/>
    <col min="3598" max="3598" width="13.625" style="154" customWidth="1"/>
    <col min="3599" max="3599" width="9.125" style="154"/>
    <col min="3600" max="3600" width="20" style="154" bestFit="1" customWidth="1"/>
    <col min="3601" max="3837" width="9.125" style="154"/>
    <col min="3838" max="3838" width="13.25" style="154" bestFit="1" customWidth="1"/>
    <col min="3839" max="3839" width="42.25" style="154" customWidth="1"/>
    <col min="3840" max="3840" width="10.625" style="154" customWidth="1"/>
    <col min="3841" max="3844" width="0" style="154" hidden="1" customWidth="1"/>
    <col min="3845" max="3845" width="17" style="154" customWidth="1"/>
    <col min="3846" max="3846" width="13.375" style="154" customWidth="1"/>
    <col min="3847" max="3848" width="0" style="154" hidden="1" customWidth="1"/>
    <col min="3849" max="3849" width="14.75" style="154" customWidth="1"/>
    <col min="3850" max="3852" width="13.625" style="154" customWidth="1"/>
    <col min="3853" max="3853" width="15.625" style="154" customWidth="1"/>
    <col min="3854" max="3854" width="13.625" style="154" customWidth="1"/>
    <col min="3855" max="3855" width="9.125" style="154"/>
    <col min="3856" max="3856" width="20" style="154" bestFit="1" customWidth="1"/>
    <col min="3857" max="4093" width="9.125" style="154"/>
    <col min="4094" max="4094" width="13.25" style="154" bestFit="1" customWidth="1"/>
    <col min="4095" max="4095" width="42.25" style="154" customWidth="1"/>
    <col min="4096" max="4096" width="10.625" style="154" customWidth="1"/>
    <col min="4097" max="4100" width="0" style="154" hidden="1" customWidth="1"/>
    <col min="4101" max="4101" width="17" style="154" customWidth="1"/>
    <col min="4102" max="4102" width="13.375" style="154" customWidth="1"/>
    <col min="4103" max="4104" width="0" style="154" hidden="1" customWidth="1"/>
    <col min="4105" max="4105" width="14.75" style="154" customWidth="1"/>
    <col min="4106" max="4108" width="13.625" style="154" customWidth="1"/>
    <col min="4109" max="4109" width="15.625" style="154" customWidth="1"/>
    <col min="4110" max="4110" width="13.625" style="154" customWidth="1"/>
    <col min="4111" max="4111" width="9.125" style="154"/>
    <col min="4112" max="4112" width="20" style="154" bestFit="1" customWidth="1"/>
    <col min="4113" max="4349" width="9.125" style="154"/>
    <col min="4350" max="4350" width="13.25" style="154" bestFit="1" customWidth="1"/>
    <col min="4351" max="4351" width="42.25" style="154" customWidth="1"/>
    <col min="4352" max="4352" width="10.625" style="154" customWidth="1"/>
    <col min="4353" max="4356" width="0" style="154" hidden="1" customWidth="1"/>
    <col min="4357" max="4357" width="17" style="154" customWidth="1"/>
    <col min="4358" max="4358" width="13.375" style="154" customWidth="1"/>
    <col min="4359" max="4360" width="0" style="154" hidden="1" customWidth="1"/>
    <col min="4361" max="4361" width="14.75" style="154" customWidth="1"/>
    <col min="4362" max="4364" width="13.625" style="154" customWidth="1"/>
    <col min="4365" max="4365" width="15.625" style="154" customWidth="1"/>
    <col min="4366" max="4366" width="13.625" style="154" customWidth="1"/>
    <col min="4367" max="4367" width="9.125" style="154"/>
    <col min="4368" max="4368" width="20" style="154" bestFit="1" customWidth="1"/>
    <col min="4369" max="4605" width="9.125" style="154"/>
    <col min="4606" max="4606" width="13.25" style="154" bestFit="1" customWidth="1"/>
    <col min="4607" max="4607" width="42.25" style="154" customWidth="1"/>
    <col min="4608" max="4608" width="10.625" style="154" customWidth="1"/>
    <col min="4609" max="4612" width="0" style="154" hidden="1" customWidth="1"/>
    <col min="4613" max="4613" width="17" style="154" customWidth="1"/>
    <col min="4614" max="4614" width="13.375" style="154" customWidth="1"/>
    <col min="4615" max="4616" width="0" style="154" hidden="1" customWidth="1"/>
    <col min="4617" max="4617" width="14.75" style="154" customWidth="1"/>
    <col min="4618" max="4620" width="13.625" style="154" customWidth="1"/>
    <col min="4621" max="4621" width="15.625" style="154" customWidth="1"/>
    <col min="4622" max="4622" width="13.625" style="154" customWidth="1"/>
    <col min="4623" max="4623" width="9.125" style="154"/>
    <col min="4624" max="4624" width="20" style="154" bestFit="1" customWidth="1"/>
    <col min="4625" max="4861" width="9.125" style="154"/>
    <col min="4862" max="4862" width="13.25" style="154" bestFit="1" customWidth="1"/>
    <col min="4863" max="4863" width="42.25" style="154" customWidth="1"/>
    <col min="4864" max="4864" width="10.625" style="154" customWidth="1"/>
    <col min="4865" max="4868" width="0" style="154" hidden="1" customWidth="1"/>
    <col min="4869" max="4869" width="17" style="154" customWidth="1"/>
    <col min="4870" max="4870" width="13.375" style="154" customWidth="1"/>
    <col min="4871" max="4872" width="0" style="154" hidden="1" customWidth="1"/>
    <col min="4873" max="4873" width="14.75" style="154" customWidth="1"/>
    <col min="4874" max="4876" width="13.625" style="154" customWidth="1"/>
    <col min="4877" max="4877" width="15.625" style="154" customWidth="1"/>
    <col min="4878" max="4878" width="13.625" style="154" customWidth="1"/>
    <col min="4879" max="4879" width="9.125" style="154"/>
    <col min="4880" max="4880" width="20" style="154" bestFit="1" customWidth="1"/>
    <col min="4881" max="5117" width="9.125" style="154"/>
    <col min="5118" max="5118" width="13.25" style="154" bestFit="1" customWidth="1"/>
    <col min="5119" max="5119" width="42.25" style="154" customWidth="1"/>
    <col min="5120" max="5120" width="10.625" style="154" customWidth="1"/>
    <col min="5121" max="5124" width="0" style="154" hidden="1" customWidth="1"/>
    <col min="5125" max="5125" width="17" style="154" customWidth="1"/>
    <col min="5126" max="5126" width="13.375" style="154" customWidth="1"/>
    <col min="5127" max="5128" width="0" style="154" hidden="1" customWidth="1"/>
    <col min="5129" max="5129" width="14.75" style="154" customWidth="1"/>
    <col min="5130" max="5132" width="13.625" style="154" customWidth="1"/>
    <col min="5133" max="5133" width="15.625" style="154" customWidth="1"/>
    <col min="5134" max="5134" width="13.625" style="154" customWidth="1"/>
    <col min="5135" max="5135" width="9.125" style="154"/>
    <col min="5136" max="5136" width="20" style="154" bestFit="1" customWidth="1"/>
    <col min="5137" max="5373" width="9.125" style="154"/>
    <col min="5374" max="5374" width="13.25" style="154" bestFit="1" customWidth="1"/>
    <col min="5375" max="5375" width="42.25" style="154" customWidth="1"/>
    <col min="5376" max="5376" width="10.625" style="154" customWidth="1"/>
    <col min="5377" max="5380" width="0" style="154" hidden="1" customWidth="1"/>
    <col min="5381" max="5381" width="17" style="154" customWidth="1"/>
    <col min="5382" max="5382" width="13.375" style="154" customWidth="1"/>
    <col min="5383" max="5384" width="0" style="154" hidden="1" customWidth="1"/>
    <col min="5385" max="5385" width="14.75" style="154" customWidth="1"/>
    <col min="5386" max="5388" width="13.625" style="154" customWidth="1"/>
    <col min="5389" max="5389" width="15.625" style="154" customWidth="1"/>
    <col min="5390" max="5390" width="13.625" style="154" customWidth="1"/>
    <col min="5391" max="5391" width="9.125" style="154"/>
    <col min="5392" max="5392" width="20" style="154" bestFit="1" customWidth="1"/>
    <col min="5393" max="5629" width="9.125" style="154"/>
    <col min="5630" max="5630" width="13.25" style="154" bestFit="1" customWidth="1"/>
    <col min="5631" max="5631" width="42.25" style="154" customWidth="1"/>
    <col min="5632" max="5632" width="10.625" style="154" customWidth="1"/>
    <col min="5633" max="5636" width="0" style="154" hidden="1" customWidth="1"/>
    <col min="5637" max="5637" width="17" style="154" customWidth="1"/>
    <col min="5638" max="5638" width="13.375" style="154" customWidth="1"/>
    <col min="5639" max="5640" width="0" style="154" hidden="1" customWidth="1"/>
    <col min="5641" max="5641" width="14.75" style="154" customWidth="1"/>
    <col min="5642" max="5644" width="13.625" style="154" customWidth="1"/>
    <col min="5645" max="5645" width="15.625" style="154" customWidth="1"/>
    <col min="5646" max="5646" width="13.625" style="154" customWidth="1"/>
    <col min="5647" max="5647" width="9.125" style="154"/>
    <col min="5648" max="5648" width="20" style="154" bestFit="1" customWidth="1"/>
    <col min="5649" max="5885" width="9.125" style="154"/>
    <col min="5886" max="5886" width="13.25" style="154" bestFit="1" customWidth="1"/>
    <col min="5887" max="5887" width="42.25" style="154" customWidth="1"/>
    <col min="5888" max="5888" width="10.625" style="154" customWidth="1"/>
    <col min="5889" max="5892" width="0" style="154" hidden="1" customWidth="1"/>
    <col min="5893" max="5893" width="17" style="154" customWidth="1"/>
    <col min="5894" max="5894" width="13.375" style="154" customWidth="1"/>
    <col min="5895" max="5896" width="0" style="154" hidden="1" customWidth="1"/>
    <col min="5897" max="5897" width="14.75" style="154" customWidth="1"/>
    <col min="5898" max="5900" width="13.625" style="154" customWidth="1"/>
    <col min="5901" max="5901" width="15.625" style="154" customWidth="1"/>
    <col min="5902" max="5902" width="13.625" style="154" customWidth="1"/>
    <col min="5903" max="5903" width="9.125" style="154"/>
    <col min="5904" max="5904" width="20" style="154" bestFit="1" customWidth="1"/>
    <col min="5905" max="6141" width="9.125" style="154"/>
    <col min="6142" max="6142" width="13.25" style="154" bestFit="1" customWidth="1"/>
    <col min="6143" max="6143" width="42.25" style="154" customWidth="1"/>
    <col min="6144" max="6144" width="10.625" style="154" customWidth="1"/>
    <col min="6145" max="6148" width="0" style="154" hidden="1" customWidth="1"/>
    <col min="6149" max="6149" width="17" style="154" customWidth="1"/>
    <col min="6150" max="6150" width="13.375" style="154" customWidth="1"/>
    <col min="6151" max="6152" width="0" style="154" hidden="1" customWidth="1"/>
    <col min="6153" max="6153" width="14.75" style="154" customWidth="1"/>
    <col min="6154" max="6156" width="13.625" style="154" customWidth="1"/>
    <col min="6157" max="6157" width="15.625" style="154" customWidth="1"/>
    <col min="6158" max="6158" width="13.625" style="154" customWidth="1"/>
    <col min="6159" max="6159" width="9.125" style="154"/>
    <col min="6160" max="6160" width="20" style="154" bestFit="1" customWidth="1"/>
    <col min="6161" max="6397" width="9.125" style="154"/>
    <col min="6398" max="6398" width="13.25" style="154" bestFit="1" customWidth="1"/>
    <col min="6399" max="6399" width="42.25" style="154" customWidth="1"/>
    <col min="6400" max="6400" width="10.625" style="154" customWidth="1"/>
    <col min="6401" max="6404" width="0" style="154" hidden="1" customWidth="1"/>
    <col min="6405" max="6405" width="17" style="154" customWidth="1"/>
    <col min="6406" max="6406" width="13.375" style="154" customWidth="1"/>
    <col min="6407" max="6408" width="0" style="154" hidden="1" customWidth="1"/>
    <col min="6409" max="6409" width="14.75" style="154" customWidth="1"/>
    <col min="6410" max="6412" width="13.625" style="154" customWidth="1"/>
    <col min="6413" max="6413" width="15.625" style="154" customWidth="1"/>
    <col min="6414" max="6414" width="13.625" style="154" customWidth="1"/>
    <col min="6415" max="6415" width="9.125" style="154"/>
    <col min="6416" max="6416" width="20" style="154" bestFit="1" customWidth="1"/>
    <col min="6417" max="6653" width="9.125" style="154"/>
    <col min="6654" max="6654" width="13.25" style="154" bestFit="1" customWidth="1"/>
    <col min="6655" max="6655" width="42.25" style="154" customWidth="1"/>
    <col min="6656" max="6656" width="10.625" style="154" customWidth="1"/>
    <col min="6657" max="6660" width="0" style="154" hidden="1" customWidth="1"/>
    <col min="6661" max="6661" width="17" style="154" customWidth="1"/>
    <col min="6662" max="6662" width="13.375" style="154" customWidth="1"/>
    <col min="6663" max="6664" width="0" style="154" hidden="1" customWidth="1"/>
    <col min="6665" max="6665" width="14.75" style="154" customWidth="1"/>
    <col min="6666" max="6668" width="13.625" style="154" customWidth="1"/>
    <col min="6669" max="6669" width="15.625" style="154" customWidth="1"/>
    <col min="6670" max="6670" width="13.625" style="154" customWidth="1"/>
    <col min="6671" max="6671" width="9.125" style="154"/>
    <col min="6672" max="6672" width="20" style="154" bestFit="1" customWidth="1"/>
    <col min="6673" max="6909" width="9.125" style="154"/>
    <col min="6910" max="6910" width="13.25" style="154" bestFit="1" customWidth="1"/>
    <col min="6911" max="6911" width="42.25" style="154" customWidth="1"/>
    <col min="6912" max="6912" width="10.625" style="154" customWidth="1"/>
    <col min="6913" max="6916" width="0" style="154" hidden="1" customWidth="1"/>
    <col min="6917" max="6917" width="17" style="154" customWidth="1"/>
    <col min="6918" max="6918" width="13.375" style="154" customWidth="1"/>
    <col min="6919" max="6920" width="0" style="154" hidden="1" customWidth="1"/>
    <col min="6921" max="6921" width="14.75" style="154" customWidth="1"/>
    <col min="6922" max="6924" width="13.625" style="154" customWidth="1"/>
    <col min="6925" max="6925" width="15.625" style="154" customWidth="1"/>
    <col min="6926" max="6926" width="13.625" style="154" customWidth="1"/>
    <col min="6927" max="6927" width="9.125" style="154"/>
    <col min="6928" max="6928" width="20" style="154" bestFit="1" customWidth="1"/>
    <col min="6929" max="7165" width="9.125" style="154"/>
    <col min="7166" max="7166" width="13.25" style="154" bestFit="1" customWidth="1"/>
    <col min="7167" max="7167" width="42.25" style="154" customWidth="1"/>
    <col min="7168" max="7168" width="10.625" style="154" customWidth="1"/>
    <col min="7169" max="7172" width="0" style="154" hidden="1" customWidth="1"/>
    <col min="7173" max="7173" width="17" style="154" customWidth="1"/>
    <col min="7174" max="7174" width="13.375" style="154" customWidth="1"/>
    <col min="7175" max="7176" width="0" style="154" hidden="1" customWidth="1"/>
    <col min="7177" max="7177" width="14.75" style="154" customWidth="1"/>
    <col min="7178" max="7180" width="13.625" style="154" customWidth="1"/>
    <col min="7181" max="7181" width="15.625" style="154" customWidth="1"/>
    <col min="7182" max="7182" width="13.625" style="154" customWidth="1"/>
    <col min="7183" max="7183" width="9.125" style="154"/>
    <col min="7184" max="7184" width="20" style="154" bestFit="1" customWidth="1"/>
    <col min="7185" max="7421" width="9.125" style="154"/>
    <col min="7422" max="7422" width="13.25" style="154" bestFit="1" customWidth="1"/>
    <col min="7423" max="7423" width="42.25" style="154" customWidth="1"/>
    <col min="7424" max="7424" width="10.625" style="154" customWidth="1"/>
    <col min="7425" max="7428" width="0" style="154" hidden="1" customWidth="1"/>
    <col min="7429" max="7429" width="17" style="154" customWidth="1"/>
    <col min="7430" max="7430" width="13.375" style="154" customWidth="1"/>
    <col min="7431" max="7432" width="0" style="154" hidden="1" customWidth="1"/>
    <col min="7433" max="7433" width="14.75" style="154" customWidth="1"/>
    <col min="7434" max="7436" width="13.625" style="154" customWidth="1"/>
    <col min="7437" max="7437" width="15.625" style="154" customWidth="1"/>
    <col min="7438" max="7438" width="13.625" style="154" customWidth="1"/>
    <col min="7439" max="7439" width="9.125" style="154"/>
    <col min="7440" max="7440" width="20" style="154" bestFit="1" customWidth="1"/>
    <col min="7441" max="7677" width="9.125" style="154"/>
    <col min="7678" max="7678" width="13.25" style="154" bestFit="1" customWidth="1"/>
    <col min="7679" max="7679" width="42.25" style="154" customWidth="1"/>
    <col min="7680" max="7680" width="10.625" style="154" customWidth="1"/>
    <col min="7681" max="7684" width="0" style="154" hidden="1" customWidth="1"/>
    <col min="7685" max="7685" width="17" style="154" customWidth="1"/>
    <col min="7686" max="7686" width="13.375" style="154" customWidth="1"/>
    <col min="7687" max="7688" width="0" style="154" hidden="1" customWidth="1"/>
    <col min="7689" max="7689" width="14.75" style="154" customWidth="1"/>
    <col min="7690" max="7692" width="13.625" style="154" customWidth="1"/>
    <col min="7693" max="7693" width="15.625" style="154" customWidth="1"/>
    <col min="7694" max="7694" width="13.625" style="154" customWidth="1"/>
    <col min="7695" max="7695" width="9.125" style="154"/>
    <col min="7696" max="7696" width="20" style="154" bestFit="1" customWidth="1"/>
    <col min="7697" max="7933" width="9.125" style="154"/>
    <col min="7934" max="7934" width="13.25" style="154" bestFit="1" customWidth="1"/>
    <col min="7935" max="7935" width="42.25" style="154" customWidth="1"/>
    <col min="7936" max="7936" width="10.625" style="154" customWidth="1"/>
    <col min="7937" max="7940" width="0" style="154" hidden="1" customWidth="1"/>
    <col min="7941" max="7941" width="17" style="154" customWidth="1"/>
    <col min="7942" max="7942" width="13.375" style="154" customWidth="1"/>
    <col min="7943" max="7944" width="0" style="154" hidden="1" customWidth="1"/>
    <col min="7945" max="7945" width="14.75" style="154" customWidth="1"/>
    <col min="7946" max="7948" width="13.625" style="154" customWidth="1"/>
    <col min="7949" max="7949" width="15.625" style="154" customWidth="1"/>
    <col min="7950" max="7950" width="13.625" style="154" customWidth="1"/>
    <col min="7951" max="7951" width="9.125" style="154"/>
    <col min="7952" max="7952" width="20" style="154" bestFit="1" customWidth="1"/>
    <col min="7953" max="8189" width="9.125" style="154"/>
    <col min="8190" max="8190" width="13.25" style="154" bestFit="1" customWidth="1"/>
    <col min="8191" max="8191" width="42.25" style="154" customWidth="1"/>
    <col min="8192" max="8192" width="10.625" style="154" customWidth="1"/>
    <col min="8193" max="8196" width="0" style="154" hidden="1" customWidth="1"/>
    <col min="8197" max="8197" width="17" style="154" customWidth="1"/>
    <col min="8198" max="8198" width="13.375" style="154" customWidth="1"/>
    <col min="8199" max="8200" width="0" style="154" hidden="1" customWidth="1"/>
    <col min="8201" max="8201" width="14.75" style="154" customWidth="1"/>
    <col min="8202" max="8204" width="13.625" style="154" customWidth="1"/>
    <col min="8205" max="8205" width="15.625" style="154" customWidth="1"/>
    <col min="8206" max="8206" width="13.625" style="154" customWidth="1"/>
    <col min="8207" max="8207" width="9.125" style="154"/>
    <col min="8208" max="8208" width="20" style="154" bestFit="1" customWidth="1"/>
    <col min="8209" max="8445" width="9.125" style="154"/>
    <col min="8446" max="8446" width="13.25" style="154" bestFit="1" customWidth="1"/>
    <col min="8447" max="8447" width="42.25" style="154" customWidth="1"/>
    <col min="8448" max="8448" width="10.625" style="154" customWidth="1"/>
    <col min="8449" max="8452" width="0" style="154" hidden="1" customWidth="1"/>
    <col min="8453" max="8453" width="17" style="154" customWidth="1"/>
    <col min="8454" max="8454" width="13.375" style="154" customWidth="1"/>
    <col min="8455" max="8456" width="0" style="154" hidden="1" customWidth="1"/>
    <col min="8457" max="8457" width="14.75" style="154" customWidth="1"/>
    <col min="8458" max="8460" width="13.625" style="154" customWidth="1"/>
    <col min="8461" max="8461" width="15.625" style="154" customWidth="1"/>
    <col min="8462" max="8462" width="13.625" style="154" customWidth="1"/>
    <col min="8463" max="8463" width="9.125" style="154"/>
    <col min="8464" max="8464" width="20" style="154" bestFit="1" customWidth="1"/>
    <col min="8465" max="8701" width="9.125" style="154"/>
    <col min="8702" max="8702" width="13.25" style="154" bestFit="1" customWidth="1"/>
    <col min="8703" max="8703" width="42.25" style="154" customWidth="1"/>
    <col min="8704" max="8704" width="10.625" style="154" customWidth="1"/>
    <col min="8705" max="8708" width="0" style="154" hidden="1" customWidth="1"/>
    <col min="8709" max="8709" width="17" style="154" customWidth="1"/>
    <col min="8710" max="8710" width="13.375" style="154" customWidth="1"/>
    <col min="8711" max="8712" width="0" style="154" hidden="1" customWidth="1"/>
    <col min="8713" max="8713" width="14.75" style="154" customWidth="1"/>
    <col min="8714" max="8716" width="13.625" style="154" customWidth="1"/>
    <col min="8717" max="8717" width="15.625" style="154" customWidth="1"/>
    <col min="8718" max="8718" width="13.625" style="154" customWidth="1"/>
    <col min="8719" max="8719" width="9.125" style="154"/>
    <col min="8720" max="8720" width="20" style="154" bestFit="1" customWidth="1"/>
    <col min="8721" max="8957" width="9.125" style="154"/>
    <col min="8958" max="8958" width="13.25" style="154" bestFit="1" customWidth="1"/>
    <col min="8959" max="8959" width="42.25" style="154" customWidth="1"/>
    <col min="8960" max="8960" width="10.625" style="154" customWidth="1"/>
    <col min="8961" max="8964" width="0" style="154" hidden="1" customWidth="1"/>
    <col min="8965" max="8965" width="17" style="154" customWidth="1"/>
    <col min="8966" max="8966" width="13.375" style="154" customWidth="1"/>
    <col min="8967" max="8968" width="0" style="154" hidden="1" customWidth="1"/>
    <col min="8969" max="8969" width="14.75" style="154" customWidth="1"/>
    <col min="8970" max="8972" width="13.625" style="154" customWidth="1"/>
    <col min="8973" max="8973" width="15.625" style="154" customWidth="1"/>
    <col min="8974" max="8974" width="13.625" style="154" customWidth="1"/>
    <col min="8975" max="8975" width="9.125" style="154"/>
    <col min="8976" max="8976" width="20" style="154" bestFit="1" customWidth="1"/>
    <col min="8977" max="9213" width="9.125" style="154"/>
    <col min="9214" max="9214" width="13.25" style="154" bestFit="1" customWidth="1"/>
    <col min="9215" max="9215" width="42.25" style="154" customWidth="1"/>
    <col min="9216" max="9216" width="10.625" style="154" customWidth="1"/>
    <col min="9217" max="9220" width="0" style="154" hidden="1" customWidth="1"/>
    <col min="9221" max="9221" width="17" style="154" customWidth="1"/>
    <col min="9222" max="9222" width="13.375" style="154" customWidth="1"/>
    <col min="9223" max="9224" width="0" style="154" hidden="1" customWidth="1"/>
    <col min="9225" max="9225" width="14.75" style="154" customWidth="1"/>
    <col min="9226" max="9228" width="13.625" style="154" customWidth="1"/>
    <col min="9229" max="9229" width="15.625" style="154" customWidth="1"/>
    <col min="9230" max="9230" width="13.625" style="154" customWidth="1"/>
    <col min="9231" max="9231" width="9.125" style="154"/>
    <col min="9232" max="9232" width="20" style="154" bestFit="1" customWidth="1"/>
    <col min="9233" max="9469" width="9.125" style="154"/>
    <col min="9470" max="9470" width="13.25" style="154" bestFit="1" customWidth="1"/>
    <col min="9471" max="9471" width="42.25" style="154" customWidth="1"/>
    <col min="9472" max="9472" width="10.625" style="154" customWidth="1"/>
    <col min="9473" max="9476" width="0" style="154" hidden="1" customWidth="1"/>
    <col min="9477" max="9477" width="17" style="154" customWidth="1"/>
    <col min="9478" max="9478" width="13.375" style="154" customWidth="1"/>
    <col min="9479" max="9480" width="0" style="154" hidden="1" customWidth="1"/>
    <col min="9481" max="9481" width="14.75" style="154" customWidth="1"/>
    <col min="9482" max="9484" width="13.625" style="154" customWidth="1"/>
    <col min="9485" max="9485" width="15.625" style="154" customWidth="1"/>
    <col min="9486" max="9486" width="13.625" style="154" customWidth="1"/>
    <col min="9487" max="9487" width="9.125" style="154"/>
    <col min="9488" max="9488" width="20" style="154" bestFit="1" customWidth="1"/>
    <col min="9489" max="9725" width="9.125" style="154"/>
    <col min="9726" max="9726" width="13.25" style="154" bestFit="1" customWidth="1"/>
    <col min="9727" max="9727" width="42.25" style="154" customWidth="1"/>
    <col min="9728" max="9728" width="10.625" style="154" customWidth="1"/>
    <col min="9729" max="9732" width="0" style="154" hidden="1" customWidth="1"/>
    <col min="9733" max="9733" width="17" style="154" customWidth="1"/>
    <col min="9734" max="9734" width="13.375" style="154" customWidth="1"/>
    <col min="9735" max="9736" width="0" style="154" hidden="1" customWidth="1"/>
    <col min="9737" max="9737" width="14.75" style="154" customWidth="1"/>
    <col min="9738" max="9740" width="13.625" style="154" customWidth="1"/>
    <col min="9741" max="9741" width="15.625" style="154" customWidth="1"/>
    <col min="9742" max="9742" width="13.625" style="154" customWidth="1"/>
    <col min="9743" max="9743" width="9.125" style="154"/>
    <col min="9744" max="9744" width="20" style="154" bestFit="1" customWidth="1"/>
    <col min="9745" max="9981" width="9.125" style="154"/>
    <col min="9982" max="9982" width="13.25" style="154" bestFit="1" customWidth="1"/>
    <col min="9983" max="9983" width="42.25" style="154" customWidth="1"/>
    <col min="9984" max="9984" width="10.625" style="154" customWidth="1"/>
    <col min="9985" max="9988" width="0" style="154" hidden="1" customWidth="1"/>
    <col min="9989" max="9989" width="17" style="154" customWidth="1"/>
    <col min="9990" max="9990" width="13.375" style="154" customWidth="1"/>
    <col min="9991" max="9992" width="0" style="154" hidden="1" customWidth="1"/>
    <col min="9993" max="9993" width="14.75" style="154" customWidth="1"/>
    <col min="9994" max="9996" width="13.625" style="154" customWidth="1"/>
    <col min="9997" max="9997" width="15.625" style="154" customWidth="1"/>
    <col min="9998" max="9998" width="13.625" style="154" customWidth="1"/>
    <col min="9999" max="9999" width="9.125" style="154"/>
    <col min="10000" max="10000" width="20" style="154" bestFit="1" customWidth="1"/>
    <col min="10001" max="10237" width="9.125" style="154"/>
    <col min="10238" max="10238" width="13.25" style="154" bestFit="1" customWidth="1"/>
    <col min="10239" max="10239" width="42.25" style="154" customWidth="1"/>
    <col min="10240" max="10240" width="10.625" style="154" customWidth="1"/>
    <col min="10241" max="10244" width="0" style="154" hidden="1" customWidth="1"/>
    <col min="10245" max="10245" width="17" style="154" customWidth="1"/>
    <col min="10246" max="10246" width="13.375" style="154" customWidth="1"/>
    <col min="10247" max="10248" width="0" style="154" hidden="1" customWidth="1"/>
    <col min="10249" max="10249" width="14.75" style="154" customWidth="1"/>
    <col min="10250" max="10252" width="13.625" style="154" customWidth="1"/>
    <col min="10253" max="10253" width="15.625" style="154" customWidth="1"/>
    <col min="10254" max="10254" width="13.625" style="154" customWidth="1"/>
    <col min="10255" max="10255" width="9.125" style="154"/>
    <col min="10256" max="10256" width="20" style="154" bestFit="1" customWidth="1"/>
    <col min="10257" max="10493" width="9.125" style="154"/>
    <col min="10494" max="10494" width="13.25" style="154" bestFit="1" customWidth="1"/>
    <col min="10495" max="10495" width="42.25" style="154" customWidth="1"/>
    <col min="10496" max="10496" width="10.625" style="154" customWidth="1"/>
    <col min="10497" max="10500" width="0" style="154" hidden="1" customWidth="1"/>
    <col min="10501" max="10501" width="17" style="154" customWidth="1"/>
    <col min="10502" max="10502" width="13.375" style="154" customWidth="1"/>
    <col min="10503" max="10504" width="0" style="154" hidden="1" customWidth="1"/>
    <col min="10505" max="10505" width="14.75" style="154" customWidth="1"/>
    <col min="10506" max="10508" width="13.625" style="154" customWidth="1"/>
    <col min="10509" max="10509" width="15.625" style="154" customWidth="1"/>
    <col min="10510" max="10510" width="13.625" style="154" customWidth="1"/>
    <col min="10511" max="10511" width="9.125" style="154"/>
    <col min="10512" max="10512" width="20" style="154" bestFit="1" customWidth="1"/>
    <col min="10513" max="10749" width="9.125" style="154"/>
    <col min="10750" max="10750" width="13.25" style="154" bestFit="1" customWidth="1"/>
    <col min="10751" max="10751" width="42.25" style="154" customWidth="1"/>
    <col min="10752" max="10752" width="10.625" style="154" customWidth="1"/>
    <col min="10753" max="10756" width="0" style="154" hidden="1" customWidth="1"/>
    <col min="10757" max="10757" width="17" style="154" customWidth="1"/>
    <col min="10758" max="10758" width="13.375" style="154" customWidth="1"/>
    <col min="10759" max="10760" width="0" style="154" hidden="1" customWidth="1"/>
    <col min="10761" max="10761" width="14.75" style="154" customWidth="1"/>
    <col min="10762" max="10764" width="13.625" style="154" customWidth="1"/>
    <col min="10765" max="10765" width="15.625" style="154" customWidth="1"/>
    <col min="10766" max="10766" width="13.625" style="154" customWidth="1"/>
    <col min="10767" max="10767" width="9.125" style="154"/>
    <col min="10768" max="10768" width="20" style="154" bestFit="1" customWidth="1"/>
    <col min="10769" max="11005" width="9.125" style="154"/>
    <col min="11006" max="11006" width="13.25" style="154" bestFit="1" customWidth="1"/>
    <col min="11007" max="11007" width="42.25" style="154" customWidth="1"/>
    <col min="11008" max="11008" width="10.625" style="154" customWidth="1"/>
    <col min="11009" max="11012" width="0" style="154" hidden="1" customWidth="1"/>
    <col min="11013" max="11013" width="17" style="154" customWidth="1"/>
    <col min="11014" max="11014" width="13.375" style="154" customWidth="1"/>
    <col min="11015" max="11016" width="0" style="154" hidden="1" customWidth="1"/>
    <col min="11017" max="11017" width="14.75" style="154" customWidth="1"/>
    <col min="11018" max="11020" width="13.625" style="154" customWidth="1"/>
    <col min="11021" max="11021" width="15.625" style="154" customWidth="1"/>
    <col min="11022" max="11022" width="13.625" style="154" customWidth="1"/>
    <col min="11023" max="11023" width="9.125" style="154"/>
    <col min="11024" max="11024" width="20" style="154" bestFit="1" customWidth="1"/>
    <col min="11025" max="11261" width="9.125" style="154"/>
    <col min="11262" max="11262" width="13.25" style="154" bestFit="1" customWidth="1"/>
    <col min="11263" max="11263" width="42.25" style="154" customWidth="1"/>
    <col min="11264" max="11264" width="10.625" style="154" customWidth="1"/>
    <col min="11265" max="11268" width="0" style="154" hidden="1" customWidth="1"/>
    <col min="11269" max="11269" width="17" style="154" customWidth="1"/>
    <col min="11270" max="11270" width="13.375" style="154" customWidth="1"/>
    <col min="11271" max="11272" width="0" style="154" hidden="1" customWidth="1"/>
    <col min="11273" max="11273" width="14.75" style="154" customWidth="1"/>
    <col min="11274" max="11276" width="13.625" style="154" customWidth="1"/>
    <col min="11277" max="11277" width="15.625" style="154" customWidth="1"/>
    <col min="11278" max="11278" width="13.625" style="154" customWidth="1"/>
    <col min="11279" max="11279" width="9.125" style="154"/>
    <col min="11280" max="11280" width="20" style="154" bestFit="1" customWidth="1"/>
    <col min="11281" max="11517" width="9.125" style="154"/>
    <col min="11518" max="11518" width="13.25" style="154" bestFit="1" customWidth="1"/>
    <col min="11519" max="11519" width="42.25" style="154" customWidth="1"/>
    <col min="11520" max="11520" width="10.625" style="154" customWidth="1"/>
    <col min="11521" max="11524" width="0" style="154" hidden="1" customWidth="1"/>
    <col min="11525" max="11525" width="17" style="154" customWidth="1"/>
    <col min="11526" max="11526" width="13.375" style="154" customWidth="1"/>
    <col min="11527" max="11528" width="0" style="154" hidden="1" customWidth="1"/>
    <col min="11529" max="11529" width="14.75" style="154" customWidth="1"/>
    <col min="11530" max="11532" width="13.625" style="154" customWidth="1"/>
    <col min="11533" max="11533" width="15.625" style="154" customWidth="1"/>
    <col min="11534" max="11534" width="13.625" style="154" customWidth="1"/>
    <col min="11535" max="11535" width="9.125" style="154"/>
    <col min="11536" max="11536" width="20" style="154" bestFit="1" customWidth="1"/>
    <col min="11537" max="11773" width="9.125" style="154"/>
    <col min="11774" max="11774" width="13.25" style="154" bestFit="1" customWidth="1"/>
    <col min="11775" max="11775" width="42.25" style="154" customWidth="1"/>
    <col min="11776" max="11776" width="10.625" style="154" customWidth="1"/>
    <col min="11777" max="11780" width="0" style="154" hidden="1" customWidth="1"/>
    <col min="11781" max="11781" width="17" style="154" customWidth="1"/>
    <col min="11782" max="11782" width="13.375" style="154" customWidth="1"/>
    <col min="11783" max="11784" width="0" style="154" hidden="1" customWidth="1"/>
    <col min="11785" max="11785" width="14.75" style="154" customWidth="1"/>
    <col min="11786" max="11788" width="13.625" style="154" customWidth="1"/>
    <col min="11789" max="11789" width="15.625" style="154" customWidth="1"/>
    <col min="11790" max="11790" width="13.625" style="154" customWidth="1"/>
    <col min="11791" max="11791" width="9.125" style="154"/>
    <col min="11792" max="11792" width="20" style="154" bestFit="1" customWidth="1"/>
    <col min="11793" max="12029" width="9.125" style="154"/>
    <col min="12030" max="12030" width="13.25" style="154" bestFit="1" customWidth="1"/>
    <col min="12031" max="12031" width="42.25" style="154" customWidth="1"/>
    <col min="12032" max="12032" width="10.625" style="154" customWidth="1"/>
    <col min="12033" max="12036" width="0" style="154" hidden="1" customWidth="1"/>
    <col min="12037" max="12037" width="17" style="154" customWidth="1"/>
    <col min="12038" max="12038" width="13.375" style="154" customWidth="1"/>
    <col min="12039" max="12040" width="0" style="154" hidden="1" customWidth="1"/>
    <col min="12041" max="12041" width="14.75" style="154" customWidth="1"/>
    <col min="12042" max="12044" width="13.625" style="154" customWidth="1"/>
    <col min="12045" max="12045" width="15.625" style="154" customWidth="1"/>
    <col min="12046" max="12046" width="13.625" style="154" customWidth="1"/>
    <col min="12047" max="12047" width="9.125" style="154"/>
    <col min="12048" max="12048" width="20" style="154" bestFit="1" customWidth="1"/>
    <col min="12049" max="12285" width="9.125" style="154"/>
    <col min="12286" max="12286" width="13.25" style="154" bestFit="1" customWidth="1"/>
    <col min="12287" max="12287" width="42.25" style="154" customWidth="1"/>
    <col min="12288" max="12288" width="10.625" style="154" customWidth="1"/>
    <col min="12289" max="12292" width="0" style="154" hidden="1" customWidth="1"/>
    <col min="12293" max="12293" width="17" style="154" customWidth="1"/>
    <col min="12294" max="12294" width="13.375" style="154" customWidth="1"/>
    <col min="12295" max="12296" width="0" style="154" hidden="1" customWidth="1"/>
    <col min="12297" max="12297" width="14.75" style="154" customWidth="1"/>
    <col min="12298" max="12300" width="13.625" style="154" customWidth="1"/>
    <col min="12301" max="12301" width="15.625" style="154" customWidth="1"/>
    <col min="12302" max="12302" width="13.625" style="154" customWidth="1"/>
    <col min="12303" max="12303" width="9.125" style="154"/>
    <col min="12304" max="12304" width="20" style="154" bestFit="1" customWidth="1"/>
    <col min="12305" max="12541" width="9.125" style="154"/>
    <col min="12542" max="12542" width="13.25" style="154" bestFit="1" customWidth="1"/>
    <col min="12543" max="12543" width="42.25" style="154" customWidth="1"/>
    <col min="12544" max="12544" width="10.625" style="154" customWidth="1"/>
    <col min="12545" max="12548" width="0" style="154" hidden="1" customWidth="1"/>
    <col min="12549" max="12549" width="17" style="154" customWidth="1"/>
    <col min="12550" max="12550" width="13.375" style="154" customWidth="1"/>
    <col min="12551" max="12552" width="0" style="154" hidden="1" customWidth="1"/>
    <col min="12553" max="12553" width="14.75" style="154" customWidth="1"/>
    <col min="12554" max="12556" width="13.625" style="154" customWidth="1"/>
    <col min="12557" max="12557" width="15.625" style="154" customWidth="1"/>
    <col min="12558" max="12558" width="13.625" style="154" customWidth="1"/>
    <col min="12559" max="12559" width="9.125" style="154"/>
    <col min="12560" max="12560" width="20" style="154" bestFit="1" customWidth="1"/>
    <col min="12561" max="12797" width="9.125" style="154"/>
    <col min="12798" max="12798" width="13.25" style="154" bestFit="1" customWidth="1"/>
    <col min="12799" max="12799" width="42.25" style="154" customWidth="1"/>
    <col min="12800" max="12800" width="10.625" style="154" customWidth="1"/>
    <col min="12801" max="12804" width="0" style="154" hidden="1" customWidth="1"/>
    <col min="12805" max="12805" width="17" style="154" customWidth="1"/>
    <col min="12806" max="12806" width="13.375" style="154" customWidth="1"/>
    <col min="12807" max="12808" width="0" style="154" hidden="1" customWidth="1"/>
    <col min="12809" max="12809" width="14.75" style="154" customWidth="1"/>
    <col min="12810" max="12812" width="13.625" style="154" customWidth="1"/>
    <col min="12813" max="12813" width="15.625" style="154" customWidth="1"/>
    <col min="12814" max="12814" width="13.625" style="154" customWidth="1"/>
    <col min="12815" max="12815" width="9.125" style="154"/>
    <col min="12816" max="12816" width="20" style="154" bestFit="1" customWidth="1"/>
    <col min="12817" max="13053" width="9.125" style="154"/>
    <col min="13054" max="13054" width="13.25" style="154" bestFit="1" customWidth="1"/>
    <col min="13055" max="13055" width="42.25" style="154" customWidth="1"/>
    <col min="13056" max="13056" width="10.625" style="154" customWidth="1"/>
    <col min="13057" max="13060" width="0" style="154" hidden="1" customWidth="1"/>
    <col min="13061" max="13061" width="17" style="154" customWidth="1"/>
    <col min="13062" max="13062" width="13.375" style="154" customWidth="1"/>
    <col min="13063" max="13064" width="0" style="154" hidden="1" customWidth="1"/>
    <col min="13065" max="13065" width="14.75" style="154" customWidth="1"/>
    <col min="13066" max="13068" width="13.625" style="154" customWidth="1"/>
    <col min="13069" max="13069" width="15.625" style="154" customWidth="1"/>
    <col min="13070" max="13070" width="13.625" style="154" customWidth="1"/>
    <col min="13071" max="13071" width="9.125" style="154"/>
    <col min="13072" max="13072" width="20" style="154" bestFit="1" customWidth="1"/>
    <col min="13073" max="13309" width="9.125" style="154"/>
    <col min="13310" max="13310" width="13.25" style="154" bestFit="1" customWidth="1"/>
    <col min="13311" max="13311" width="42.25" style="154" customWidth="1"/>
    <col min="13312" max="13312" width="10.625" style="154" customWidth="1"/>
    <col min="13313" max="13316" width="0" style="154" hidden="1" customWidth="1"/>
    <col min="13317" max="13317" width="17" style="154" customWidth="1"/>
    <col min="13318" max="13318" width="13.375" style="154" customWidth="1"/>
    <col min="13319" max="13320" width="0" style="154" hidden="1" customWidth="1"/>
    <col min="13321" max="13321" width="14.75" style="154" customWidth="1"/>
    <col min="13322" max="13324" width="13.625" style="154" customWidth="1"/>
    <col min="13325" max="13325" width="15.625" style="154" customWidth="1"/>
    <col min="13326" max="13326" width="13.625" style="154" customWidth="1"/>
    <col min="13327" max="13327" width="9.125" style="154"/>
    <col min="13328" max="13328" width="20" style="154" bestFit="1" customWidth="1"/>
    <col min="13329" max="13565" width="9.125" style="154"/>
    <col min="13566" max="13566" width="13.25" style="154" bestFit="1" customWidth="1"/>
    <col min="13567" max="13567" width="42.25" style="154" customWidth="1"/>
    <col min="13568" max="13568" width="10.625" style="154" customWidth="1"/>
    <col min="13569" max="13572" width="0" style="154" hidden="1" customWidth="1"/>
    <col min="13573" max="13573" width="17" style="154" customWidth="1"/>
    <col min="13574" max="13574" width="13.375" style="154" customWidth="1"/>
    <col min="13575" max="13576" width="0" style="154" hidden="1" customWidth="1"/>
    <col min="13577" max="13577" width="14.75" style="154" customWidth="1"/>
    <col min="13578" max="13580" width="13.625" style="154" customWidth="1"/>
    <col min="13581" max="13581" width="15.625" style="154" customWidth="1"/>
    <col min="13582" max="13582" width="13.625" style="154" customWidth="1"/>
    <col min="13583" max="13583" width="9.125" style="154"/>
    <col min="13584" max="13584" width="20" style="154" bestFit="1" customWidth="1"/>
    <col min="13585" max="13821" width="9.125" style="154"/>
    <col min="13822" max="13822" width="13.25" style="154" bestFit="1" customWidth="1"/>
    <col min="13823" max="13823" width="42.25" style="154" customWidth="1"/>
    <col min="13824" max="13824" width="10.625" style="154" customWidth="1"/>
    <col min="13825" max="13828" width="0" style="154" hidden="1" customWidth="1"/>
    <col min="13829" max="13829" width="17" style="154" customWidth="1"/>
    <col min="13830" max="13830" width="13.375" style="154" customWidth="1"/>
    <col min="13831" max="13832" width="0" style="154" hidden="1" customWidth="1"/>
    <col min="13833" max="13833" width="14.75" style="154" customWidth="1"/>
    <col min="13834" max="13836" width="13.625" style="154" customWidth="1"/>
    <col min="13837" max="13837" width="15.625" style="154" customWidth="1"/>
    <col min="13838" max="13838" width="13.625" style="154" customWidth="1"/>
    <col min="13839" max="13839" width="9.125" style="154"/>
    <col min="13840" max="13840" width="20" style="154" bestFit="1" customWidth="1"/>
    <col min="13841" max="14077" width="9.125" style="154"/>
    <col min="14078" max="14078" width="13.25" style="154" bestFit="1" customWidth="1"/>
    <col min="14079" max="14079" width="42.25" style="154" customWidth="1"/>
    <col min="14080" max="14080" width="10.625" style="154" customWidth="1"/>
    <col min="14081" max="14084" width="0" style="154" hidden="1" customWidth="1"/>
    <col min="14085" max="14085" width="17" style="154" customWidth="1"/>
    <col min="14086" max="14086" width="13.375" style="154" customWidth="1"/>
    <col min="14087" max="14088" width="0" style="154" hidden="1" customWidth="1"/>
    <col min="14089" max="14089" width="14.75" style="154" customWidth="1"/>
    <col min="14090" max="14092" width="13.625" style="154" customWidth="1"/>
    <col min="14093" max="14093" width="15.625" style="154" customWidth="1"/>
    <col min="14094" max="14094" width="13.625" style="154" customWidth="1"/>
    <col min="14095" max="14095" width="9.125" style="154"/>
    <col min="14096" max="14096" width="20" style="154" bestFit="1" customWidth="1"/>
    <col min="14097" max="14333" width="9.125" style="154"/>
    <col min="14334" max="14334" width="13.25" style="154" bestFit="1" customWidth="1"/>
    <col min="14335" max="14335" width="42.25" style="154" customWidth="1"/>
    <col min="14336" max="14336" width="10.625" style="154" customWidth="1"/>
    <col min="14337" max="14340" width="0" style="154" hidden="1" customWidth="1"/>
    <col min="14341" max="14341" width="17" style="154" customWidth="1"/>
    <col min="14342" max="14342" width="13.375" style="154" customWidth="1"/>
    <col min="14343" max="14344" width="0" style="154" hidden="1" customWidth="1"/>
    <col min="14345" max="14345" width="14.75" style="154" customWidth="1"/>
    <col min="14346" max="14348" width="13.625" style="154" customWidth="1"/>
    <col min="14349" max="14349" width="15.625" style="154" customWidth="1"/>
    <col min="14350" max="14350" width="13.625" style="154" customWidth="1"/>
    <col min="14351" max="14351" width="9.125" style="154"/>
    <col min="14352" max="14352" width="20" style="154" bestFit="1" customWidth="1"/>
    <col min="14353" max="14589" width="9.125" style="154"/>
    <col min="14590" max="14590" width="13.25" style="154" bestFit="1" customWidth="1"/>
    <col min="14591" max="14591" width="42.25" style="154" customWidth="1"/>
    <col min="14592" max="14592" width="10.625" style="154" customWidth="1"/>
    <col min="14593" max="14596" width="0" style="154" hidden="1" customWidth="1"/>
    <col min="14597" max="14597" width="17" style="154" customWidth="1"/>
    <col min="14598" max="14598" width="13.375" style="154" customWidth="1"/>
    <col min="14599" max="14600" width="0" style="154" hidden="1" customWidth="1"/>
    <col min="14601" max="14601" width="14.75" style="154" customWidth="1"/>
    <col min="14602" max="14604" width="13.625" style="154" customWidth="1"/>
    <col min="14605" max="14605" width="15.625" style="154" customWidth="1"/>
    <col min="14606" max="14606" width="13.625" style="154" customWidth="1"/>
    <col min="14607" max="14607" width="9.125" style="154"/>
    <col min="14608" max="14608" width="20" style="154" bestFit="1" customWidth="1"/>
    <col min="14609" max="14845" width="9.125" style="154"/>
    <col min="14846" max="14846" width="13.25" style="154" bestFit="1" customWidth="1"/>
    <col min="14847" max="14847" width="42.25" style="154" customWidth="1"/>
    <col min="14848" max="14848" width="10.625" style="154" customWidth="1"/>
    <col min="14849" max="14852" width="0" style="154" hidden="1" customWidth="1"/>
    <col min="14853" max="14853" width="17" style="154" customWidth="1"/>
    <col min="14854" max="14854" width="13.375" style="154" customWidth="1"/>
    <col min="14855" max="14856" width="0" style="154" hidden="1" customWidth="1"/>
    <col min="14857" max="14857" width="14.75" style="154" customWidth="1"/>
    <col min="14858" max="14860" width="13.625" style="154" customWidth="1"/>
    <col min="14861" max="14861" width="15.625" style="154" customWidth="1"/>
    <col min="14862" max="14862" width="13.625" style="154" customWidth="1"/>
    <col min="14863" max="14863" width="9.125" style="154"/>
    <col min="14864" max="14864" width="20" style="154" bestFit="1" customWidth="1"/>
    <col min="14865" max="15101" width="9.125" style="154"/>
    <col min="15102" max="15102" width="13.25" style="154" bestFit="1" customWidth="1"/>
    <col min="15103" max="15103" width="42.25" style="154" customWidth="1"/>
    <col min="15104" max="15104" width="10.625" style="154" customWidth="1"/>
    <col min="15105" max="15108" width="0" style="154" hidden="1" customWidth="1"/>
    <col min="15109" max="15109" width="17" style="154" customWidth="1"/>
    <col min="15110" max="15110" width="13.375" style="154" customWidth="1"/>
    <col min="15111" max="15112" width="0" style="154" hidden="1" customWidth="1"/>
    <col min="15113" max="15113" width="14.75" style="154" customWidth="1"/>
    <col min="15114" max="15116" width="13.625" style="154" customWidth="1"/>
    <col min="15117" max="15117" width="15.625" style="154" customWidth="1"/>
    <col min="15118" max="15118" width="13.625" style="154" customWidth="1"/>
    <col min="15119" max="15119" width="9.125" style="154"/>
    <col min="15120" max="15120" width="20" style="154" bestFit="1" customWidth="1"/>
    <col min="15121" max="15357" width="9.125" style="154"/>
    <col min="15358" max="15358" width="13.25" style="154" bestFit="1" customWidth="1"/>
    <col min="15359" max="15359" width="42.25" style="154" customWidth="1"/>
    <col min="15360" max="15360" width="10.625" style="154" customWidth="1"/>
    <col min="15361" max="15364" width="0" style="154" hidden="1" customWidth="1"/>
    <col min="15365" max="15365" width="17" style="154" customWidth="1"/>
    <col min="15366" max="15366" width="13.375" style="154" customWidth="1"/>
    <col min="15367" max="15368" width="0" style="154" hidden="1" customWidth="1"/>
    <col min="15369" max="15369" width="14.75" style="154" customWidth="1"/>
    <col min="15370" max="15372" width="13.625" style="154" customWidth="1"/>
    <col min="15373" max="15373" width="15.625" style="154" customWidth="1"/>
    <col min="15374" max="15374" width="13.625" style="154" customWidth="1"/>
    <col min="15375" max="15375" width="9.125" style="154"/>
    <col min="15376" max="15376" width="20" style="154" bestFit="1" customWidth="1"/>
    <col min="15377" max="15613" width="9.125" style="154"/>
    <col min="15614" max="15614" width="13.25" style="154" bestFit="1" customWidth="1"/>
    <col min="15615" max="15615" width="42.25" style="154" customWidth="1"/>
    <col min="15616" max="15616" width="10.625" style="154" customWidth="1"/>
    <col min="15617" max="15620" width="0" style="154" hidden="1" customWidth="1"/>
    <col min="15621" max="15621" width="17" style="154" customWidth="1"/>
    <col min="15622" max="15622" width="13.375" style="154" customWidth="1"/>
    <col min="15623" max="15624" width="0" style="154" hidden="1" customWidth="1"/>
    <col min="15625" max="15625" width="14.75" style="154" customWidth="1"/>
    <col min="15626" max="15628" width="13.625" style="154" customWidth="1"/>
    <col min="15629" max="15629" width="15.625" style="154" customWidth="1"/>
    <col min="15630" max="15630" width="13.625" style="154" customWidth="1"/>
    <col min="15631" max="15631" width="9.125" style="154"/>
    <col min="15632" max="15632" width="20" style="154" bestFit="1" customWidth="1"/>
    <col min="15633" max="15869" width="9.125" style="154"/>
    <col min="15870" max="15870" width="13.25" style="154" bestFit="1" customWidth="1"/>
    <col min="15871" max="15871" width="42.25" style="154" customWidth="1"/>
    <col min="15872" max="15872" width="10.625" style="154" customWidth="1"/>
    <col min="15873" max="15876" width="0" style="154" hidden="1" customWidth="1"/>
    <col min="15877" max="15877" width="17" style="154" customWidth="1"/>
    <col min="15878" max="15878" width="13.375" style="154" customWidth="1"/>
    <col min="15879" max="15880" width="0" style="154" hidden="1" customWidth="1"/>
    <col min="15881" max="15881" width="14.75" style="154" customWidth="1"/>
    <col min="15882" max="15884" width="13.625" style="154" customWidth="1"/>
    <col min="15885" max="15885" width="15.625" style="154" customWidth="1"/>
    <col min="15886" max="15886" width="13.625" style="154" customWidth="1"/>
    <col min="15887" max="15887" width="9.125" style="154"/>
    <col min="15888" max="15888" width="20" style="154" bestFit="1" customWidth="1"/>
    <col min="15889" max="16125" width="9.125" style="154"/>
    <col min="16126" max="16126" width="13.25" style="154" bestFit="1" customWidth="1"/>
    <col min="16127" max="16127" width="42.25" style="154" customWidth="1"/>
    <col min="16128" max="16128" width="10.625" style="154" customWidth="1"/>
    <col min="16129" max="16132" width="0" style="154" hidden="1" customWidth="1"/>
    <col min="16133" max="16133" width="17" style="154" customWidth="1"/>
    <col min="16134" max="16134" width="13.375" style="154" customWidth="1"/>
    <col min="16135" max="16136" width="0" style="154" hidden="1" customWidth="1"/>
    <col min="16137" max="16137" width="14.75" style="154" customWidth="1"/>
    <col min="16138" max="16140" width="13.625" style="154" customWidth="1"/>
    <col min="16141" max="16141" width="15.625" style="154" customWidth="1"/>
    <col min="16142" max="16142" width="13.625" style="154" customWidth="1"/>
    <col min="16143" max="16143" width="9.125" style="154"/>
    <col min="16144" max="16144" width="20" style="154" bestFit="1" customWidth="1"/>
    <col min="16145" max="16384" width="9.125" style="154"/>
  </cols>
  <sheetData>
    <row r="1" spans="1:64">
      <c r="B1" s="483" t="s">
        <v>180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</row>
    <row r="2" spans="1:64">
      <c r="B2" s="483" t="s">
        <v>181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</row>
    <row r="3" spans="1:64"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</row>
    <row r="4" spans="1:64" ht="30" customHeight="1">
      <c r="A4" s="504" t="s">
        <v>182</v>
      </c>
      <c r="B4" s="506" t="s">
        <v>2</v>
      </c>
      <c r="C4" s="507" t="s">
        <v>3</v>
      </c>
      <c r="D4" s="508" t="s">
        <v>183</v>
      </c>
      <c r="E4" s="508"/>
      <c r="F4" s="508" t="s">
        <v>184</v>
      </c>
      <c r="G4" s="508"/>
      <c r="H4" s="507" t="s">
        <v>185</v>
      </c>
      <c r="I4" s="507"/>
      <c r="J4" s="507" t="s">
        <v>73</v>
      </c>
      <c r="K4" s="507"/>
      <c r="L4" s="500" t="s">
        <v>186</v>
      </c>
      <c r="M4" s="501"/>
      <c r="N4" s="155"/>
      <c r="O4" s="155"/>
      <c r="P4" s="501" t="s">
        <v>187</v>
      </c>
      <c r="Q4" s="501"/>
    </row>
    <row r="5" spans="1:64">
      <c r="A5" s="505"/>
      <c r="B5" s="506"/>
      <c r="C5" s="507"/>
      <c r="D5" s="156" t="s">
        <v>188</v>
      </c>
      <c r="E5" s="156" t="s">
        <v>189</v>
      </c>
      <c r="F5" s="156" t="s">
        <v>188</v>
      </c>
      <c r="G5" s="156" t="s">
        <v>189</v>
      </c>
      <c r="H5" s="156" t="s">
        <v>188</v>
      </c>
      <c r="I5" s="156" t="s">
        <v>189</v>
      </c>
      <c r="J5" s="156" t="s">
        <v>188</v>
      </c>
      <c r="K5" s="156" t="s">
        <v>189</v>
      </c>
      <c r="L5" s="156" t="s">
        <v>188</v>
      </c>
      <c r="M5" s="156" t="s">
        <v>189</v>
      </c>
      <c r="N5" s="156"/>
      <c r="O5" s="156"/>
      <c r="P5" s="156" t="s">
        <v>188</v>
      </c>
      <c r="Q5" s="156" t="s">
        <v>189</v>
      </c>
    </row>
    <row r="6" spans="1:64" s="162" customFormat="1">
      <c r="A6" s="157"/>
      <c r="B6" s="158" t="s">
        <v>190</v>
      </c>
      <c r="C6" s="159"/>
      <c r="D6" s="156"/>
      <c r="E6" s="160">
        <f>E7+E14+E52</f>
        <v>355945.2</v>
      </c>
      <c r="F6" s="156"/>
      <c r="G6" s="161">
        <f>G7+G14+G52</f>
        <v>424999.94199999998</v>
      </c>
      <c r="H6" s="156"/>
      <c r="I6" s="161">
        <f>I7+I14+I52</f>
        <v>426843.06908543687</v>
      </c>
      <c r="J6" s="156"/>
      <c r="K6" s="161">
        <f>K7+K14+K52</f>
        <v>486641.09422000003</v>
      </c>
      <c r="L6" s="161"/>
      <c r="M6" s="161">
        <f>M7+M14+M52</f>
        <v>517314.69999999995</v>
      </c>
      <c r="N6" s="161"/>
      <c r="O6" s="161"/>
      <c r="P6" s="161"/>
      <c r="Q6" s="161">
        <f>Q7+Q14+Q52</f>
        <v>582145.53799999994</v>
      </c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</row>
    <row r="7" spans="1:64" s="168" customFormat="1" ht="21" customHeight="1">
      <c r="A7" s="163" t="s">
        <v>89</v>
      </c>
      <c r="B7" s="164" t="s">
        <v>191</v>
      </c>
      <c r="C7" s="165"/>
      <c r="D7" s="165"/>
      <c r="E7" s="166">
        <f>SUM(E8:E12)</f>
        <v>22511</v>
      </c>
      <c r="F7" s="165"/>
      <c r="G7" s="167">
        <f>SUM(G8:G12)</f>
        <v>18430</v>
      </c>
      <c r="H7" s="165"/>
      <c r="I7" s="167">
        <f>SUM(I8:I12)</f>
        <v>14680</v>
      </c>
      <c r="J7" s="165"/>
      <c r="K7" s="167">
        <f>SUM(K8:K12)</f>
        <v>17230</v>
      </c>
      <c r="L7" s="167"/>
      <c r="M7" s="167">
        <f>SUM(M8:M12)</f>
        <v>9500</v>
      </c>
      <c r="N7" s="167"/>
      <c r="O7" s="167"/>
      <c r="P7" s="167"/>
      <c r="Q7" s="167">
        <f>SUM(Q8:Q12)</f>
        <v>7550</v>
      </c>
    </row>
    <row r="8" spans="1:64" ht="21" customHeight="1">
      <c r="A8" s="169">
        <v>14006</v>
      </c>
      <c r="B8" s="170" t="s">
        <v>192</v>
      </c>
      <c r="C8" s="171" t="s">
        <v>193</v>
      </c>
      <c r="D8" s="172">
        <v>8</v>
      </c>
      <c r="E8" s="173">
        <f>D8*400</f>
        <v>3200</v>
      </c>
      <c r="F8" s="172">
        <v>8</v>
      </c>
      <c r="G8" s="174">
        <f>F8*400</f>
        <v>3200</v>
      </c>
      <c r="H8" s="172">
        <v>3</v>
      </c>
      <c r="I8" s="174">
        <f>H8*400</f>
        <v>1200</v>
      </c>
      <c r="J8" s="172">
        <v>8</v>
      </c>
      <c r="K8" s="174">
        <f>J8*400</f>
        <v>3200</v>
      </c>
      <c r="L8" s="174">
        <v>5</v>
      </c>
      <c r="M8" s="174">
        <f>L8*400</f>
        <v>2000</v>
      </c>
      <c r="N8" s="174"/>
      <c r="O8" s="174"/>
      <c r="P8" s="174">
        <v>2</v>
      </c>
      <c r="Q8" s="174">
        <f>P8*400</f>
        <v>800</v>
      </c>
    </row>
    <row r="9" spans="1:64" ht="21" customHeight="1">
      <c r="A9" s="169">
        <v>14008</v>
      </c>
      <c r="B9" s="170" t="s">
        <v>194</v>
      </c>
      <c r="C9" s="171" t="s">
        <v>195</v>
      </c>
      <c r="D9" s="172">
        <v>7</v>
      </c>
      <c r="E9" s="173">
        <v>2056</v>
      </c>
      <c r="F9" s="172">
        <v>7</v>
      </c>
      <c r="G9" s="174">
        <f>F9*250</f>
        <v>1750</v>
      </c>
      <c r="H9" s="172">
        <v>7</v>
      </c>
      <c r="I9" s="174">
        <f>H9*250</f>
        <v>1750</v>
      </c>
      <c r="J9" s="172">
        <v>7</v>
      </c>
      <c r="K9" s="174">
        <f>J9*250</f>
        <v>1750</v>
      </c>
      <c r="L9" s="174">
        <v>4</v>
      </c>
      <c r="M9" s="174">
        <f>L9*250</f>
        <v>1000</v>
      </c>
      <c r="N9" s="174"/>
      <c r="O9" s="174"/>
      <c r="P9" s="174">
        <v>5</v>
      </c>
      <c r="Q9" s="174">
        <f>P9*250</f>
        <v>1250</v>
      </c>
    </row>
    <row r="10" spans="1:64" ht="21" customHeight="1">
      <c r="A10" s="169">
        <v>14009</v>
      </c>
      <c r="B10" s="170" t="s">
        <v>196</v>
      </c>
      <c r="C10" s="171" t="s">
        <v>195</v>
      </c>
      <c r="D10" s="172">
        <v>3.2</v>
      </c>
      <c r="E10" s="173">
        <f>D10*150</f>
        <v>480</v>
      </c>
      <c r="F10" s="172">
        <v>3.2</v>
      </c>
      <c r="G10" s="174">
        <f>F10*150</f>
        <v>480</v>
      </c>
      <c r="H10" s="172">
        <v>3.2</v>
      </c>
      <c r="I10" s="174">
        <f>H10*150</f>
        <v>480</v>
      </c>
      <c r="J10" s="172">
        <v>3.2</v>
      </c>
      <c r="K10" s="174">
        <f>J10*150</f>
        <v>480</v>
      </c>
      <c r="L10" s="174"/>
      <c r="M10" s="174">
        <f>L10*150</f>
        <v>0</v>
      </c>
      <c r="N10" s="174"/>
      <c r="O10" s="174"/>
      <c r="P10" s="175"/>
      <c r="Q10" s="174"/>
    </row>
    <row r="11" spans="1:64" ht="21" customHeight="1">
      <c r="A11" s="169">
        <v>14010</v>
      </c>
      <c r="B11" s="177" t="s">
        <v>197</v>
      </c>
      <c r="C11" s="171" t="s">
        <v>198</v>
      </c>
      <c r="D11" s="172">
        <v>26.5</v>
      </c>
      <c r="E11" s="173">
        <f>D11*350</f>
        <v>9275</v>
      </c>
      <c r="F11" s="172">
        <v>20</v>
      </c>
      <c r="G11" s="174">
        <f>F11*350</f>
        <v>7000</v>
      </c>
      <c r="H11" s="172">
        <v>15</v>
      </c>
      <c r="I11" s="174">
        <f>H11*350</f>
        <v>5250</v>
      </c>
      <c r="J11" s="172">
        <v>8</v>
      </c>
      <c r="K11" s="174">
        <f>J11*350</f>
        <v>2800</v>
      </c>
      <c r="L11" s="172"/>
      <c r="M11" s="174">
        <f>L11*350</f>
        <v>0</v>
      </c>
      <c r="N11" s="174"/>
      <c r="O11" s="174"/>
      <c r="P11" s="175"/>
      <c r="Q11" s="174"/>
    </row>
    <row r="12" spans="1:64" ht="21" customHeight="1">
      <c r="A12" s="169">
        <v>14011</v>
      </c>
      <c r="B12" s="170" t="s">
        <v>199</v>
      </c>
      <c r="C12" s="171" t="s">
        <v>195</v>
      </c>
      <c r="D12" s="172">
        <v>150</v>
      </c>
      <c r="E12" s="173">
        <f>D12*50</f>
        <v>7500</v>
      </c>
      <c r="F12" s="172">
        <v>120</v>
      </c>
      <c r="G12" s="174">
        <f>F12*50</f>
        <v>6000</v>
      </c>
      <c r="H12" s="172">
        <v>120</v>
      </c>
      <c r="I12" s="174">
        <f>H12*50</f>
        <v>6000</v>
      </c>
      <c r="J12" s="172">
        <v>180</v>
      </c>
      <c r="K12" s="174">
        <f>J12*50</f>
        <v>9000</v>
      </c>
      <c r="L12" s="174">
        <v>130</v>
      </c>
      <c r="M12" s="174">
        <f>L12*50</f>
        <v>6500</v>
      </c>
      <c r="N12" s="174"/>
      <c r="O12" s="174"/>
      <c r="P12" s="175">
        <v>110</v>
      </c>
      <c r="Q12" s="174">
        <f>P12*50</f>
        <v>5500</v>
      </c>
    </row>
    <row r="13" spans="1:64" ht="21" customHeight="1">
      <c r="A13" s="169">
        <v>14012</v>
      </c>
      <c r="B13" s="170" t="s">
        <v>200</v>
      </c>
      <c r="C13" s="171" t="s">
        <v>201</v>
      </c>
      <c r="D13" s="172"/>
      <c r="E13" s="173"/>
      <c r="F13" s="172"/>
      <c r="G13" s="174"/>
      <c r="H13" s="172"/>
      <c r="I13" s="174"/>
      <c r="J13" s="172"/>
      <c r="K13" s="174"/>
      <c r="L13" s="174">
        <v>600</v>
      </c>
      <c r="M13" s="174">
        <f>L13*2</f>
        <v>1200</v>
      </c>
      <c r="N13" s="174"/>
      <c r="O13" s="174"/>
      <c r="P13" s="175">
        <v>600</v>
      </c>
      <c r="Q13" s="174">
        <f>P13*2</f>
        <v>1200</v>
      </c>
    </row>
    <row r="14" spans="1:64" s="168" customFormat="1" ht="21" customHeight="1">
      <c r="A14" s="178" t="s">
        <v>202</v>
      </c>
      <c r="B14" s="179" t="s">
        <v>203</v>
      </c>
      <c r="C14" s="180"/>
      <c r="D14" s="181"/>
      <c r="E14" s="182">
        <f>E15+E26+E29+E37+E39+E44</f>
        <v>286874.2</v>
      </c>
      <c r="F14" s="181"/>
      <c r="G14" s="183">
        <f>G15+G26+G29+G37+G39+G44</f>
        <v>337089.94199999998</v>
      </c>
      <c r="H14" s="184"/>
      <c r="I14" s="183">
        <f>I15+I26+I29+I37+I39+I44</f>
        <v>344435.8308</v>
      </c>
      <c r="J14" s="181"/>
      <c r="K14" s="183">
        <f>K15+K26+K29+K37+K39+K44</f>
        <v>407015.45542000001</v>
      </c>
      <c r="L14" s="183"/>
      <c r="M14" s="183">
        <f>M15+M26+M29+M37+M39+M44</f>
        <v>429103.8</v>
      </c>
      <c r="N14" s="183"/>
      <c r="O14" s="183"/>
      <c r="P14" s="185"/>
      <c r="Q14" s="183">
        <f>Q15+Q26+Q29+Q37+Q39+Q44</f>
        <v>492531</v>
      </c>
    </row>
    <row r="15" spans="1:64" s="168" customFormat="1" ht="21" customHeight="1">
      <c r="A15" s="178">
        <v>1</v>
      </c>
      <c r="B15" s="179" t="s">
        <v>204</v>
      </c>
      <c r="C15" s="180"/>
      <c r="D15" s="181"/>
      <c r="E15" s="182">
        <f>SUM(E16:E25)</f>
        <v>88442</v>
      </c>
      <c r="F15" s="181"/>
      <c r="G15" s="183">
        <f>SUM(G16:G25)</f>
        <v>23808.799999999999</v>
      </c>
      <c r="H15" s="184"/>
      <c r="I15" s="183">
        <f>SUM(I16:I25)</f>
        <v>24210</v>
      </c>
      <c r="J15" s="181"/>
      <c r="K15" s="183">
        <f>SUM(K16:K25)</f>
        <v>25819</v>
      </c>
      <c r="L15" s="183"/>
      <c r="M15" s="183">
        <f>SUM(M16:M25)</f>
        <v>50911</v>
      </c>
      <c r="N15" s="183"/>
      <c r="O15" s="183"/>
      <c r="P15" s="185"/>
      <c r="Q15" s="183">
        <f>SUM(Q16:Q25)</f>
        <v>52431</v>
      </c>
    </row>
    <row r="16" spans="1:64" ht="21" customHeight="1">
      <c r="A16" s="186">
        <v>15006</v>
      </c>
      <c r="B16" s="170" t="s">
        <v>205</v>
      </c>
      <c r="C16" s="171" t="s">
        <v>195</v>
      </c>
      <c r="D16" s="172">
        <v>11</v>
      </c>
      <c r="E16" s="173">
        <f>D16*120</f>
        <v>1320</v>
      </c>
      <c r="F16" s="172">
        <v>12</v>
      </c>
      <c r="G16" s="174">
        <f>F16*120</f>
        <v>1440</v>
      </c>
      <c r="H16" s="187">
        <v>12</v>
      </c>
      <c r="I16" s="174">
        <f>H16*120</f>
        <v>1440</v>
      </c>
      <c r="J16" s="172">
        <v>13</v>
      </c>
      <c r="K16" s="174">
        <f>J16*120</f>
        <v>1560</v>
      </c>
      <c r="L16" s="172">
        <v>13</v>
      </c>
      <c r="M16" s="174">
        <f>L16*120</f>
        <v>1560</v>
      </c>
      <c r="N16" s="174"/>
      <c r="O16" s="174"/>
      <c r="P16" s="172">
        <v>13</v>
      </c>
      <c r="Q16" s="174">
        <f>P16*120</f>
        <v>1560</v>
      </c>
    </row>
    <row r="17" spans="1:64" s="188" customFormat="1" ht="21" customHeight="1">
      <c r="A17" s="186">
        <v>15007</v>
      </c>
      <c r="B17" s="170" t="s">
        <v>206</v>
      </c>
      <c r="C17" s="171" t="s">
        <v>91</v>
      </c>
      <c r="D17" s="172">
        <v>130</v>
      </c>
      <c r="E17" s="173">
        <v>66720</v>
      </c>
      <c r="F17" s="172"/>
      <c r="G17" s="174">
        <f>F17*550</f>
        <v>0</v>
      </c>
      <c r="H17" s="187"/>
      <c r="I17" s="174">
        <v>0</v>
      </c>
      <c r="J17" s="172"/>
      <c r="K17" s="174">
        <v>0</v>
      </c>
      <c r="L17" s="174">
        <v>217</v>
      </c>
      <c r="M17" s="174">
        <f>L17*110</f>
        <v>23870</v>
      </c>
      <c r="N17" s="174"/>
      <c r="O17" s="174"/>
      <c r="P17" s="174">
        <v>230</v>
      </c>
      <c r="Q17" s="174">
        <f>P17*110</f>
        <v>25300</v>
      </c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</row>
    <row r="18" spans="1:64" ht="21" customHeight="1">
      <c r="A18" s="186">
        <v>15008</v>
      </c>
      <c r="B18" s="170" t="s">
        <v>207</v>
      </c>
      <c r="C18" s="171" t="s">
        <v>91</v>
      </c>
      <c r="D18" s="172">
        <v>38</v>
      </c>
      <c r="E18" s="173">
        <f>D18*120</f>
        <v>4560</v>
      </c>
      <c r="F18" s="172">
        <v>42</v>
      </c>
      <c r="G18" s="174">
        <f>F18*120</f>
        <v>5040</v>
      </c>
      <c r="H18" s="172">
        <v>42</v>
      </c>
      <c r="I18" s="174">
        <f>H18*120</f>
        <v>5040</v>
      </c>
      <c r="J18" s="172">
        <v>43</v>
      </c>
      <c r="K18" s="174">
        <f>J18*120</f>
        <v>5160</v>
      </c>
      <c r="L18" s="174">
        <v>45</v>
      </c>
      <c r="M18" s="174">
        <f>L18*120</f>
        <v>5400</v>
      </c>
      <c r="N18" s="174"/>
      <c r="O18" s="174"/>
      <c r="P18" s="174">
        <v>45</v>
      </c>
      <c r="Q18" s="174">
        <f>P18*120</f>
        <v>5400</v>
      </c>
    </row>
    <row r="19" spans="1:64" ht="21" customHeight="1">
      <c r="A19" s="186">
        <v>15009</v>
      </c>
      <c r="B19" s="170" t="s">
        <v>208</v>
      </c>
      <c r="C19" s="171" t="s">
        <v>91</v>
      </c>
      <c r="D19" s="172">
        <v>3635</v>
      </c>
      <c r="E19" s="173">
        <f>D19*0.4</f>
        <v>1454</v>
      </c>
      <c r="F19" s="172">
        <v>3822</v>
      </c>
      <c r="G19" s="174">
        <f>F19*0.4</f>
        <v>1528.8000000000002</v>
      </c>
      <c r="H19" s="172">
        <v>3855</v>
      </c>
      <c r="I19" s="174">
        <f>H19*0.4</f>
        <v>1542</v>
      </c>
      <c r="J19" s="172">
        <v>3900</v>
      </c>
      <c r="K19" s="174">
        <f>J19*0.4</f>
        <v>1560</v>
      </c>
      <c r="L19" s="174">
        <v>4000</v>
      </c>
      <c r="M19" s="174">
        <f>L19*0.4</f>
        <v>1600</v>
      </c>
      <c r="N19" s="174"/>
      <c r="O19" s="174"/>
      <c r="P19" s="174">
        <v>4000</v>
      </c>
      <c r="Q19" s="174">
        <f>P19*0.4</f>
        <v>1600</v>
      </c>
    </row>
    <row r="20" spans="1:64" ht="21" customHeight="1">
      <c r="A20" s="186">
        <v>15010</v>
      </c>
      <c r="B20" s="170" t="s">
        <v>209</v>
      </c>
      <c r="C20" s="171" t="s">
        <v>91</v>
      </c>
      <c r="D20" s="172">
        <v>4010</v>
      </c>
      <c r="E20" s="173">
        <f>D20*0.4</f>
        <v>1604</v>
      </c>
      <c r="F20" s="172">
        <v>4250</v>
      </c>
      <c r="G20" s="174">
        <f>F20*0.4</f>
        <v>1700</v>
      </c>
      <c r="H20" s="172">
        <v>4320</v>
      </c>
      <c r="I20" s="174">
        <f>H20*0.4</f>
        <v>1728</v>
      </c>
      <c r="J20" s="172">
        <v>4400</v>
      </c>
      <c r="K20" s="174">
        <f>J20*0.4</f>
        <v>1760</v>
      </c>
      <c r="L20" s="174">
        <v>4300</v>
      </c>
      <c r="M20" s="174">
        <f>L20*0.4</f>
        <v>1720</v>
      </c>
      <c r="N20" s="174"/>
      <c r="O20" s="174"/>
      <c r="P20" s="174">
        <v>4300</v>
      </c>
      <c r="Q20" s="174">
        <f>P20*0.4</f>
        <v>1720</v>
      </c>
    </row>
    <row r="21" spans="1:64" ht="21" customHeight="1">
      <c r="A21" s="186">
        <v>15011</v>
      </c>
      <c r="B21" s="170" t="s">
        <v>210</v>
      </c>
      <c r="C21" s="171" t="s">
        <v>91</v>
      </c>
      <c r="D21" s="172">
        <v>270</v>
      </c>
      <c r="E21" s="173">
        <f>D21*20</f>
        <v>5400</v>
      </c>
      <c r="F21" s="172">
        <v>280</v>
      </c>
      <c r="G21" s="174">
        <f>F21*20</f>
        <v>5600</v>
      </c>
      <c r="H21" s="172">
        <v>290</v>
      </c>
      <c r="I21" s="174">
        <f>H21*20</f>
        <v>5800</v>
      </c>
      <c r="J21" s="172">
        <v>300</v>
      </c>
      <c r="K21" s="174">
        <f>J21*20</f>
        <v>6000</v>
      </c>
      <c r="L21" s="174">
        <v>320</v>
      </c>
      <c r="M21" s="174">
        <f>L21*20</f>
        <v>6400</v>
      </c>
      <c r="N21" s="174"/>
      <c r="O21" s="174"/>
      <c r="P21" s="174">
        <v>320</v>
      </c>
      <c r="Q21" s="174">
        <f>P21*20</f>
        <v>6400</v>
      </c>
    </row>
    <row r="22" spans="1:64" ht="21" customHeight="1">
      <c r="A22" s="186">
        <v>15012</v>
      </c>
      <c r="B22" s="170" t="s">
        <v>211</v>
      </c>
      <c r="C22" s="171" t="s">
        <v>91</v>
      </c>
      <c r="D22" s="172">
        <v>350</v>
      </c>
      <c r="E22" s="173">
        <f>D22*8</f>
        <v>2800</v>
      </c>
      <c r="F22" s="172">
        <v>380</v>
      </c>
      <c r="G22" s="174">
        <f>F22*8</f>
        <v>3040</v>
      </c>
      <c r="H22" s="172">
        <v>400</v>
      </c>
      <c r="I22" s="174">
        <f>H22*8</f>
        <v>3200</v>
      </c>
      <c r="J22" s="172">
        <v>500</v>
      </c>
      <c r="K22" s="174">
        <f>J22*8</f>
        <v>4000</v>
      </c>
      <c r="L22" s="174">
        <v>530</v>
      </c>
      <c r="M22" s="174">
        <f>L22*8</f>
        <v>4240</v>
      </c>
      <c r="N22" s="174"/>
      <c r="O22" s="174"/>
      <c r="P22" s="174">
        <v>530</v>
      </c>
      <c r="Q22" s="174">
        <f>P22*8</f>
        <v>4240</v>
      </c>
    </row>
    <row r="23" spans="1:64" ht="21" customHeight="1">
      <c r="A23" s="186">
        <v>15013</v>
      </c>
      <c r="B23" s="170" t="s">
        <v>212</v>
      </c>
      <c r="C23" s="171" t="s">
        <v>91</v>
      </c>
      <c r="D23" s="172">
        <v>80</v>
      </c>
      <c r="E23" s="173">
        <f>D23*12</f>
        <v>960</v>
      </c>
      <c r="F23" s="172">
        <v>80</v>
      </c>
      <c r="G23" s="174">
        <f>F23*12</f>
        <v>960</v>
      </c>
      <c r="H23" s="172">
        <v>80</v>
      </c>
      <c r="I23" s="174">
        <f>H23*12</f>
        <v>960</v>
      </c>
      <c r="J23" s="172">
        <v>82</v>
      </c>
      <c r="K23" s="174">
        <f>J23*12</f>
        <v>984</v>
      </c>
      <c r="L23" s="174">
        <v>83</v>
      </c>
      <c r="M23" s="174">
        <f>L23*12</f>
        <v>996</v>
      </c>
      <c r="N23" s="174"/>
      <c r="O23" s="174"/>
      <c r="P23" s="174">
        <v>83</v>
      </c>
      <c r="Q23" s="174">
        <f>P23*12</f>
        <v>996</v>
      </c>
    </row>
    <row r="24" spans="1:64" ht="21" customHeight="1">
      <c r="A24" s="186">
        <v>15014</v>
      </c>
      <c r="B24" s="170" t="s">
        <v>213</v>
      </c>
      <c r="C24" s="171" t="s">
        <v>91</v>
      </c>
      <c r="D24" s="172">
        <v>4200</v>
      </c>
      <c r="E24" s="173">
        <f>D24*0.7</f>
        <v>2940</v>
      </c>
      <c r="F24" s="172">
        <v>4500</v>
      </c>
      <c r="G24" s="174">
        <f>F24*0.7</f>
        <v>3150</v>
      </c>
      <c r="H24" s="172">
        <v>4500</v>
      </c>
      <c r="I24" s="174">
        <f>H24*0.7</f>
        <v>3150</v>
      </c>
      <c r="J24" s="172">
        <v>4600</v>
      </c>
      <c r="K24" s="174">
        <f>J24*0.7</f>
        <v>3220</v>
      </c>
      <c r="L24" s="174">
        <v>4750</v>
      </c>
      <c r="M24" s="174">
        <f>L24*0.7</f>
        <v>3325</v>
      </c>
      <c r="N24" s="174"/>
      <c r="O24" s="174"/>
      <c r="P24" s="174">
        <v>4750</v>
      </c>
      <c r="Q24" s="174">
        <f>P24*0.7</f>
        <v>3325</v>
      </c>
    </row>
    <row r="25" spans="1:64" ht="21" customHeight="1">
      <c r="A25" s="186">
        <v>15015</v>
      </c>
      <c r="B25" s="170" t="s">
        <v>214</v>
      </c>
      <c r="C25" s="171" t="s">
        <v>215</v>
      </c>
      <c r="D25" s="174">
        <v>1520</v>
      </c>
      <c r="E25" s="173">
        <f>D25*0.45</f>
        <v>684</v>
      </c>
      <c r="F25" s="174">
        <v>3000</v>
      </c>
      <c r="G25" s="174">
        <f>F25*0.45</f>
        <v>1350</v>
      </c>
      <c r="H25" s="174">
        <v>3000</v>
      </c>
      <c r="I25" s="174">
        <f>H25*0.45</f>
        <v>1350</v>
      </c>
      <c r="J25" s="174">
        <v>3500</v>
      </c>
      <c r="K25" s="174">
        <f>J25*0.45</f>
        <v>1575</v>
      </c>
      <c r="L25" s="174">
        <v>4000</v>
      </c>
      <c r="M25" s="174">
        <f>L25*0.45</f>
        <v>1800</v>
      </c>
      <c r="N25" s="174"/>
      <c r="O25" s="174"/>
      <c r="P25" s="174">
        <v>4200</v>
      </c>
      <c r="Q25" s="174">
        <f>P25*0.45</f>
        <v>1890</v>
      </c>
    </row>
    <row r="26" spans="1:64" s="168" customFormat="1" ht="21" customHeight="1">
      <c r="A26" s="178" t="s">
        <v>216</v>
      </c>
      <c r="B26" s="179" t="s">
        <v>217</v>
      </c>
      <c r="C26" s="180"/>
      <c r="D26" s="183"/>
      <c r="E26" s="182">
        <f>SUM(E27:E28)</f>
        <v>91387.6</v>
      </c>
      <c r="F26" s="183"/>
      <c r="G26" s="183">
        <f>SUM(G27:G28)</f>
        <v>63550</v>
      </c>
      <c r="H26" s="184"/>
      <c r="I26" s="183">
        <f>SUM(I27:I28)</f>
        <v>73500</v>
      </c>
      <c r="J26" s="183"/>
      <c r="K26" s="183">
        <f>SUM(K27:K28)</f>
        <v>94000</v>
      </c>
      <c r="L26" s="183"/>
      <c r="M26" s="183">
        <f>SUM(M27:M28)</f>
        <v>50000</v>
      </c>
      <c r="N26" s="183"/>
      <c r="O26" s="183"/>
      <c r="P26" s="183"/>
      <c r="Q26" s="183">
        <f>SUM(Q27:Q28)</f>
        <v>48500</v>
      </c>
    </row>
    <row r="27" spans="1:64" s="188" customFormat="1" ht="21" customHeight="1">
      <c r="A27" s="169">
        <v>14936</v>
      </c>
      <c r="B27" s="170" t="s">
        <v>218</v>
      </c>
      <c r="C27" s="171" t="s">
        <v>219</v>
      </c>
      <c r="D27" s="172">
        <v>631</v>
      </c>
      <c r="E27" s="173">
        <f>D27*12</f>
        <v>7572</v>
      </c>
      <c r="F27" s="172">
        <v>700</v>
      </c>
      <c r="G27" s="174">
        <f>F27*12</f>
        <v>8400</v>
      </c>
      <c r="H27" s="172">
        <v>900</v>
      </c>
      <c r="I27" s="174">
        <f>H27*15</f>
        <v>13500</v>
      </c>
      <c r="J27" s="172">
        <v>1600</v>
      </c>
      <c r="K27" s="174">
        <f>J27*15</f>
        <v>24000</v>
      </c>
      <c r="L27" s="174">
        <v>750</v>
      </c>
      <c r="M27" s="174">
        <f>L27*20</f>
        <v>15000</v>
      </c>
      <c r="N27" s="174"/>
      <c r="O27" s="174"/>
      <c r="P27" s="174">
        <v>800</v>
      </c>
      <c r="Q27" s="174">
        <f>P27*20</f>
        <v>16000</v>
      </c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</row>
    <row r="28" spans="1:64" s="188" customFormat="1" ht="21" customHeight="1">
      <c r="A28" s="169">
        <v>14857</v>
      </c>
      <c r="B28" s="170" t="s">
        <v>220</v>
      </c>
      <c r="C28" s="171" t="s">
        <v>221</v>
      </c>
      <c r="D28" s="174">
        <v>209539</v>
      </c>
      <c r="E28" s="173">
        <f>D28*0.4</f>
        <v>83815.600000000006</v>
      </c>
      <c r="F28" s="174">
        <v>108000</v>
      </c>
      <c r="G28" s="174">
        <v>55150</v>
      </c>
      <c r="H28" s="187">
        <v>120000</v>
      </c>
      <c r="I28" s="174">
        <f>H28*0.5</f>
        <v>60000</v>
      </c>
      <c r="J28" s="174">
        <v>140000</v>
      </c>
      <c r="K28" s="174">
        <f>J28*0.5</f>
        <v>70000</v>
      </c>
      <c r="L28" s="174">
        <v>70000</v>
      </c>
      <c r="M28" s="174">
        <f>L28*0.5</f>
        <v>35000</v>
      </c>
      <c r="N28" s="174"/>
      <c r="O28" s="174"/>
      <c r="P28" s="174">
        <v>65000</v>
      </c>
      <c r="Q28" s="174">
        <f>P28*0.5</f>
        <v>32500</v>
      </c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</row>
    <row r="29" spans="1:64" s="168" customFormat="1" ht="21" customHeight="1">
      <c r="A29" s="178" t="s">
        <v>222</v>
      </c>
      <c r="B29" s="189" t="s">
        <v>223</v>
      </c>
      <c r="C29" s="180"/>
      <c r="D29" s="183"/>
      <c r="E29" s="182">
        <f>SUM(E30:E36)</f>
        <v>52764</v>
      </c>
      <c r="F29" s="183"/>
      <c r="G29" s="183">
        <f>SUM(G30:G36)</f>
        <v>162504</v>
      </c>
      <c r="H29" s="184"/>
      <c r="I29" s="183">
        <f>SUM(I30:I36)</f>
        <v>175654</v>
      </c>
      <c r="J29" s="184"/>
      <c r="K29" s="183">
        <f>SUM(K30:K36)</f>
        <v>208608.5</v>
      </c>
      <c r="L29" s="183"/>
      <c r="M29" s="183">
        <f>SUM(M30:M36)</f>
        <v>252030</v>
      </c>
      <c r="N29" s="183"/>
      <c r="O29" s="183"/>
      <c r="P29" s="183"/>
      <c r="Q29" s="183">
        <f>SUM(Q30:Q36)</f>
        <v>314030</v>
      </c>
    </row>
    <row r="30" spans="1:64" ht="21" customHeight="1">
      <c r="A30" s="169">
        <v>14778</v>
      </c>
      <c r="B30" s="190" t="s">
        <v>224</v>
      </c>
      <c r="C30" s="171" t="s">
        <v>225</v>
      </c>
      <c r="D30" s="174">
        <v>6000</v>
      </c>
      <c r="E30" s="173">
        <f>D30*1.7</f>
        <v>10200</v>
      </c>
      <c r="F30" s="174">
        <v>9500</v>
      </c>
      <c r="G30" s="174">
        <f>F30*1.8</f>
        <v>17100</v>
      </c>
      <c r="H30" s="174">
        <v>9500</v>
      </c>
      <c r="I30" s="174">
        <f>H30*1.8</f>
        <v>17100</v>
      </c>
      <c r="J30" s="174">
        <v>17000</v>
      </c>
      <c r="K30" s="174">
        <f>J30*1.8</f>
        <v>30600</v>
      </c>
      <c r="L30" s="174">
        <v>8000</v>
      </c>
      <c r="M30" s="174">
        <f>L30*2</f>
        <v>16000</v>
      </c>
      <c r="N30" s="174"/>
      <c r="O30" s="174"/>
      <c r="P30" s="174">
        <v>9000</v>
      </c>
      <c r="Q30" s="174">
        <f>P30*2</f>
        <v>18000</v>
      </c>
    </row>
    <row r="31" spans="1:64" ht="21" customHeight="1">
      <c r="A31" s="169">
        <v>14620</v>
      </c>
      <c r="B31" s="190" t="s">
        <v>226</v>
      </c>
      <c r="C31" s="171" t="s">
        <v>227</v>
      </c>
      <c r="D31" s="172">
        <v>30000</v>
      </c>
      <c r="E31" s="173">
        <f>D31*1.2</f>
        <v>36000</v>
      </c>
      <c r="F31" s="174">
        <v>105000</v>
      </c>
      <c r="G31" s="174">
        <f>F31*1.3</f>
        <v>136500</v>
      </c>
      <c r="H31" s="172">
        <v>115000</v>
      </c>
      <c r="I31" s="174">
        <f>H31*1.3</f>
        <v>149500</v>
      </c>
      <c r="J31" s="174">
        <v>110500</v>
      </c>
      <c r="K31" s="174">
        <f>J31*1.529</f>
        <v>168954.5</v>
      </c>
      <c r="L31" s="174">
        <v>91000</v>
      </c>
      <c r="M31" s="191">
        <f>L31*2.5</f>
        <v>227500</v>
      </c>
      <c r="N31" s="191"/>
      <c r="O31" s="191"/>
      <c r="P31" s="191">
        <v>35000</v>
      </c>
      <c r="Q31" s="191">
        <f>P31*2.5</f>
        <v>87500</v>
      </c>
    </row>
    <row r="32" spans="1:64" ht="21" customHeight="1">
      <c r="A32" s="169">
        <v>14621</v>
      </c>
      <c r="B32" s="190" t="s">
        <v>228</v>
      </c>
      <c r="C32" s="171" t="s">
        <v>91</v>
      </c>
      <c r="D32" s="172"/>
      <c r="E32" s="173"/>
      <c r="F32" s="174"/>
      <c r="G32" s="174"/>
      <c r="H32" s="172"/>
      <c r="I32" s="174"/>
      <c r="J32" s="174"/>
      <c r="K32" s="174"/>
      <c r="L32" s="187"/>
      <c r="M32" s="187"/>
      <c r="N32" s="187"/>
      <c r="O32" s="187"/>
      <c r="P32" s="174">
        <v>50000</v>
      </c>
      <c r="Q32" s="191">
        <f>P32*4</f>
        <v>200000</v>
      </c>
    </row>
    <row r="33" spans="1:64" ht="21" customHeight="1">
      <c r="A33" s="169">
        <v>14541</v>
      </c>
      <c r="B33" s="190" t="s">
        <v>229</v>
      </c>
      <c r="C33" s="171" t="s">
        <v>227</v>
      </c>
      <c r="D33" s="172">
        <v>10</v>
      </c>
      <c r="E33" s="173">
        <f>D33*30</f>
        <v>300</v>
      </c>
      <c r="F33" s="172">
        <v>70</v>
      </c>
      <c r="G33" s="174">
        <f>F33*30</f>
        <v>2100</v>
      </c>
      <c r="H33" s="172">
        <v>75</v>
      </c>
      <c r="I33" s="174">
        <f>H33*30</f>
        <v>2250</v>
      </c>
      <c r="J33" s="172">
        <v>75</v>
      </c>
      <c r="K33" s="174">
        <f>J33*30</f>
        <v>2250</v>
      </c>
      <c r="L33" s="174">
        <v>70</v>
      </c>
      <c r="M33" s="174">
        <f>L33*30</f>
        <v>2100</v>
      </c>
      <c r="N33" s="174"/>
      <c r="O33" s="174"/>
      <c r="P33" s="174">
        <v>70</v>
      </c>
      <c r="Q33" s="174">
        <f>P33*30</f>
        <v>2100</v>
      </c>
    </row>
    <row r="34" spans="1:64" ht="21" customHeight="1">
      <c r="A34" s="169">
        <v>20018</v>
      </c>
      <c r="B34" s="170" t="s">
        <v>230</v>
      </c>
      <c r="C34" s="171" t="s">
        <v>231</v>
      </c>
      <c r="D34" s="172">
        <v>150</v>
      </c>
      <c r="E34" s="173">
        <f>D34*11</f>
        <v>1650</v>
      </c>
      <c r="F34" s="172">
        <v>150</v>
      </c>
      <c r="G34" s="174">
        <f>F34*11</f>
        <v>1650</v>
      </c>
      <c r="H34" s="172">
        <v>150</v>
      </c>
      <c r="I34" s="174">
        <f>H34*11</f>
        <v>1650</v>
      </c>
      <c r="J34" s="172">
        <v>150</v>
      </c>
      <c r="K34" s="174">
        <f>J34*11</f>
        <v>1650</v>
      </c>
      <c r="L34" s="174">
        <v>150</v>
      </c>
      <c r="M34" s="174">
        <f>L34*11</f>
        <v>1650</v>
      </c>
      <c r="N34" s="174"/>
      <c r="O34" s="174"/>
      <c r="P34" s="174">
        <v>150</v>
      </c>
      <c r="Q34" s="174">
        <f>P34*11</f>
        <v>1650</v>
      </c>
    </row>
    <row r="35" spans="1:64" ht="21" customHeight="1">
      <c r="A35" s="169">
        <v>21009</v>
      </c>
      <c r="B35" s="170" t="s">
        <v>232</v>
      </c>
      <c r="C35" s="171" t="s">
        <v>91</v>
      </c>
      <c r="D35" s="172">
        <v>48</v>
      </c>
      <c r="E35" s="173">
        <f>D35*18</f>
        <v>864</v>
      </c>
      <c r="F35" s="172">
        <v>78</v>
      </c>
      <c r="G35" s="174">
        <f>F35*18</f>
        <v>1404</v>
      </c>
      <c r="H35" s="172">
        <v>78</v>
      </c>
      <c r="I35" s="174">
        <f>H35*18</f>
        <v>1404</v>
      </c>
      <c r="J35" s="172">
        <v>78</v>
      </c>
      <c r="K35" s="174">
        <f>J35*18</f>
        <v>1404</v>
      </c>
      <c r="L35" s="174">
        <v>85</v>
      </c>
      <c r="M35" s="174">
        <f>L35*18</f>
        <v>1530</v>
      </c>
      <c r="N35" s="174"/>
      <c r="O35" s="174"/>
      <c r="P35" s="174">
        <v>85</v>
      </c>
      <c r="Q35" s="174">
        <f>P35*18</f>
        <v>1530</v>
      </c>
    </row>
    <row r="36" spans="1:64" ht="21" customHeight="1">
      <c r="A36" s="169">
        <v>21011</v>
      </c>
      <c r="B36" s="170" t="s">
        <v>233</v>
      </c>
      <c r="C36" s="171" t="s">
        <v>234</v>
      </c>
      <c r="D36" s="172">
        <v>150</v>
      </c>
      <c r="E36" s="173">
        <f>D36*25</f>
        <v>3750</v>
      </c>
      <c r="F36" s="172">
        <v>150</v>
      </c>
      <c r="G36" s="174">
        <f>F36*25</f>
        <v>3750</v>
      </c>
      <c r="H36" s="172">
        <v>150</v>
      </c>
      <c r="I36" s="174">
        <f>H36*25</f>
        <v>3750</v>
      </c>
      <c r="J36" s="172">
        <v>150</v>
      </c>
      <c r="K36" s="174">
        <f>J36*25</f>
        <v>3750</v>
      </c>
      <c r="L36" s="174">
        <v>130</v>
      </c>
      <c r="M36" s="174">
        <f>L36*25</f>
        <v>3250</v>
      </c>
      <c r="N36" s="174"/>
      <c r="O36" s="174"/>
      <c r="P36" s="174">
        <v>130</v>
      </c>
      <c r="Q36" s="174">
        <f>P36*25</f>
        <v>3250</v>
      </c>
    </row>
    <row r="37" spans="1:64" s="168" customFormat="1" ht="21" customHeight="1">
      <c r="A37" s="178" t="s">
        <v>235</v>
      </c>
      <c r="B37" s="179" t="s">
        <v>236</v>
      </c>
      <c r="C37" s="180"/>
      <c r="D37" s="181"/>
      <c r="E37" s="182">
        <f>E38</f>
        <v>24010</v>
      </c>
      <c r="F37" s="181"/>
      <c r="G37" s="183">
        <f>G38</f>
        <v>44100</v>
      </c>
      <c r="H37" s="181"/>
      <c r="I37" s="183">
        <f>I38</f>
        <v>24500</v>
      </c>
      <c r="J37" s="181"/>
      <c r="K37" s="183">
        <f>K38</f>
        <v>28000</v>
      </c>
      <c r="L37" s="183"/>
      <c r="M37" s="183">
        <f>M38</f>
        <v>20650</v>
      </c>
      <c r="N37" s="183"/>
      <c r="O37" s="183"/>
      <c r="P37" s="183"/>
      <c r="Q37" s="183">
        <f>Q38</f>
        <v>21000</v>
      </c>
    </row>
    <row r="38" spans="1:64" s="188" customFormat="1" ht="21" customHeight="1">
      <c r="A38" s="169">
        <v>21022</v>
      </c>
      <c r="B38" s="170" t="s">
        <v>237</v>
      </c>
      <c r="C38" s="171" t="s">
        <v>91</v>
      </c>
      <c r="D38" s="174">
        <v>686</v>
      </c>
      <c r="E38" s="173">
        <f>D38*35</f>
        <v>24010</v>
      </c>
      <c r="F38" s="174">
        <v>1260</v>
      </c>
      <c r="G38" s="174">
        <f>F38*35</f>
        <v>44100</v>
      </c>
      <c r="H38" s="187">
        <v>700</v>
      </c>
      <c r="I38" s="174">
        <f>H38*35</f>
        <v>24500</v>
      </c>
      <c r="J38" s="172">
        <v>800</v>
      </c>
      <c r="K38" s="174">
        <f>J38*35</f>
        <v>28000</v>
      </c>
      <c r="L38" s="174">
        <v>700</v>
      </c>
      <c r="M38" s="174">
        <f>L38*29.5</f>
        <v>20650</v>
      </c>
      <c r="N38" s="174"/>
      <c r="O38" s="174"/>
      <c r="P38" s="174">
        <v>700</v>
      </c>
      <c r="Q38" s="174">
        <f>P38*30</f>
        <v>21000</v>
      </c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</row>
    <row r="39" spans="1:64" s="168" customFormat="1" ht="21" customHeight="1">
      <c r="A39" s="178" t="s">
        <v>238</v>
      </c>
      <c r="B39" s="179" t="s">
        <v>239</v>
      </c>
      <c r="C39" s="180"/>
      <c r="D39" s="183"/>
      <c r="E39" s="182">
        <f>SUM(E40:E43)</f>
        <v>10495.6</v>
      </c>
      <c r="F39" s="183"/>
      <c r="G39" s="183">
        <f>SUM(G40:G43)</f>
        <v>19161.592000000001</v>
      </c>
      <c r="H39" s="184"/>
      <c r="I39" s="183">
        <f>SUM(I40:I43)</f>
        <v>21320.8308</v>
      </c>
      <c r="J39" s="181"/>
      <c r="K39" s="183">
        <f>SUM(K40:K43)</f>
        <v>24518.955419999998</v>
      </c>
      <c r="L39" s="183"/>
      <c r="M39" s="183">
        <f>SUM(M40:M43)</f>
        <v>29342.799999999999</v>
      </c>
      <c r="N39" s="183"/>
      <c r="O39" s="183"/>
      <c r="P39" s="183"/>
      <c r="Q39" s="183">
        <f>SUM(Q40:Q43)</f>
        <v>30960</v>
      </c>
    </row>
    <row r="40" spans="1:64" ht="21" customHeight="1">
      <c r="A40" s="169">
        <v>28004</v>
      </c>
      <c r="B40" s="170" t="s">
        <v>240</v>
      </c>
      <c r="C40" s="171" t="s">
        <v>241</v>
      </c>
      <c r="D40" s="172">
        <v>4322</v>
      </c>
      <c r="E40" s="173">
        <f>D40*0.8</f>
        <v>3457.6000000000004</v>
      </c>
      <c r="F40" s="172">
        <f>D40*118%</f>
        <v>5099.96</v>
      </c>
      <c r="G40" s="174">
        <f>F40*1.2</f>
        <v>6119.9520000000002</v>
      </c>
      <c r="H40" s="172">
        <f>F40*115%</f>
        <v>5864.9539999999997</v>
      </c>
      <c r="I40" s="174">
        <f>H40*1.2</f>
        <v>7037.9447999999993</v>
      </c>
      <c r="J40" s="172">
        <f>H40*115%</f>
        <v>6744.6970999999994</v>
      </c>
      <c r="K40" s="174">
        <f>J40*1.2</f>
        <v>8093.6365199999991</v>
      </c>
      <c r="L40" s="174">
        <v>7202</v>
      </c>
      <c r="M40" s="174">
        <f>L40*1.4</f>
        <v>10082.799999999999</v>
      </c>
      <c r="N40" s="174"/>
      <c r="O40" s="174"/>
      <c r="P40" s="174">
        <v>7500</v>
      </c>
      <c r="Q40" s="174">
        <f>P40*1.4</f>
        <v>10500</v>
      </c>
    </row>
    <row r="41" spans="1:64" ht="21" customHeight="1">
      <c r="A41" s="169">
        <v>28005</v>
      </c>
      <c r="B41" s="170" t="s">
        <v>242</v>
      </c>
      <c r="C41" s="171" t="s">
        <v>243</v>
      </c>
      <c r="D41" s="172">
        <v>5.2</v>
      </c>
      <c r="E41" s="173">
        <f>D41*1200</f>
        <v>6240</v>
      </c>
      <c r="F41" s="172">
        <v>11</v>
      </c>
      <c r="G41" s="174">
        <f>F41*1100</f>
        <v>12100</v>
      </c>
      <c r="H41" s="172">
        <v>12</v>
      </c>
      <c r="I41" s="174">
        <f>H41*1100</f>
        <v>13200</v>
      </c>
      <c r="J41" s="172">
        <f>H41*115%</f>
        <v>13.799999999999999</v>
      </c>
      <c r="K41" s="174">
        <f>J41*1100</f>
        <v>15179.999999999998</v>
      </c>
      <c r="L41" s="172">
        <v>15</v>
      </c>
      <c r="M41" s="174">
        <f>L41*1200</f>
        <v>18000</v>
      </c>
      <c r="N41" s="174"/>
      <c r="O41" s="174"/>
      <c r="P41" s="172">
        <v>16</v>
      </c>
      <c r="Q41" s="174">
        <f>P41*1200</f>
        <v>19200</v>
      </c>
    </row>
    <row r="42" spans="1:64" ht="21" customHeight="1">
      <c r="A42" s="169">
        <v>28002</v>
      </c>
      <c r="B42" s="170" t="s">
        <v>244</v>
      </c>
      <c r="C42" s="171" t="s">
        <v>234</v>
      </c>
      <c r="D42" s="172">
        <v>10.8</v>
      </c>
      <c r="E42" s="173">
        <f>D42*30</f>
        <v>324</v>
      </c>
      <c r="F42" s="172">
        <f>D42*118%</f>
        <v>12.744</v>
      </c>
      <c r="G42" s="174">
        <f>F42*30</f>
        <v>382.32</v>
      </c>
      <c r="H42" s="172">
        <f>F42*115%</f>
        <v>14.655599999999998</v>
      </c>
      <c r="I42" s="174">
        <f>H42*30</f>
        <v>439.66799999999995</v>
      </c>
      <c r="J42" s="172">
        <f>H42*115%</f>
        <v>16.853939999999998</v>
      </c>
      <c r="K42" s="174">
        <f>J42*30</f>
        <v>505.61819999999994</v>
      </c>
      <c r="L42" s="172">
        <v>17</v>
      </c>
      <c r="M42" s="174">
        <f>L42*30</f>
        <v>510</v>
      </c>
      <c r="N42" s="174"/>
      <c r="O42" s="174"/>
      <c r="P42" s="172">
        <v>17</v>
      </c>
      <c r="Q42" s="174">
        <f>P42*30</f>
        <v>510</v>
      </c>
    </row>
    <row r="43" spans="1:64" ht="21" customHeight="1">
      <c r="A43" s="169">
        <v>28026</v>
      </c>
      <c r="B43" s="170" t="s">
        <v>245</v>
      </c>
      <c r="C43" s="171" t="s">
        <v>234</v>
      </c>
      <c r="D43" s="172">
        <v>7.9</v>
      </c>
      <c r="E43" s="173">
        <f>D43*60</f>
        <v>474</v>
      </c>
      <c r="F43" s="172">
        <f>D43*118%</f>
        <v>9.3219999999999992</v>
      </c>
      <c r="G43" s="174">
        <f>F43*60</f>
        <v>559.31999999999994</v>
      </c>
      <c r="H43" s="172">
        <f>F43*115%</f>
        <v>10.720299999999998</v>
      </c>
      <c r="I43" s="174">
        <f>H43*60</f>
        <v>643.21799999999985</v>
      </c>
      <c r="J43" s="172">
        <f>H43*115%</f>
        <v>12.328344999999997</v>
      </c>
      <c r="K43" s="174">
        <f>J43*60</f>
        <v>739.70069999999987</v>
      </c>
      <c r="L43" s="172">
        <v>12.5</v>
      </c>
      <c r="M43" s="174">
        <f>L43*60</f>
        <v>750</v>
      </c>
      <c r="N43" s="174"/>
      <c r="O43" s="174"/>
      <c r="P43" s="172">
        <v>12.5</v>
      </c>
      <c r="Q43" s="174">
        <f>P43*60</f>
        <v>750</v>
      </c>
    </row>
    <row r="44" spans="1:64" s="168" customFormat="1" ht="21" customHeight="1">
      <c r="A44" s="178" t="s">
        <v>238</v>
      </c>
      <c r="B44" s="179" t="s">
        <v>246</v>
      </c>
      <c r="C44" s="180"/>
      <c r="D44" s="181"/>
      <c r="E44" s="182">
        <f>SUM(E45:E51)</f>
        <v>19775</v>
      </c>
      <c r="F44" s="181"/>
      <c r="G44" s="183">
        <f>SUM(G45:G51)</f>
        <v>23965.550000000003</v>
      </c>
      <c r="H44" s="181"/>
      <c r="I44" s="183">
        <f>SUM(I45:I51)</f>
        <v>25251</v>
      </c>
      <c r="J44" s="181"/>
      <c r="K44" s="183">
        <f>SUM(K45:K51)</f>
        <v>26069</v>
      </c>
      <c r="L44" s="183"/>
      <c r="M44" s="183">
        <f>SUM(M45:M51)</f>
        <v>26170</v>
      </c>
      <c r="N44" s="183"/>
      <c r="O44" s="183"/>
      <c r="P44" s="183"/>
      <c r="Q44" s="183">
        <f>SUM(Q45:Q51)</f>
        <v>25610</v>
      </c>
    </row>
    <row r="45" spans="1:64" ht="21" customHeight="1">
      <c r="A45" s="169">
        <v>36006</v>
      </c>
      <c r="B45" s="170" t="s">
        <v>247</v>
      </c>
      <c r="C45" s="171" t="s">
        <v>248</v>
      </c>
      <c r="D45" s="172">
        <v>65</v>
      </c>
      <c r="E45" s="173">
        <f>D45*33</f>
        <v>2145</v>
      </c>
      <c r="F45" s="172">
        <f>D45*117%</f>
        <v>76.05</v>
      </c>
      <c r="G45" s="174">
        <f>F45*33</f>
        <v>2509.65</v>
      </c>
      <c r="H45" s="172">
        <v>77</v>
      </c>
      <c r="I45" s="174">
        <f>H45*33</f>
        <v>2541</v>
      </c>
      <c r="J45" s="172">
        <v>78</v>
      </c>
      <c r="K45" s="174">
        <f>J45*33</f>
        <v>2574</v>
      </c>
      <c r="L45" s="174">
        <v>60</v>
      </c>
      <c r="M45" s="174">
        <f>L45*33</f>
        <v>1980</v>
      </c>
      <c r="N45" s="174"/>
      <c r="O45" s="174"/>
      <c r="P45" s="174">
        <v>60</v>
      </c>
      <c r="Q45" s="174">
        <f>P45*33</f>
        <v>1980</v>
      </c>
    </row>
    <row r="46" spans="1:64" ht="21" customHeight="1">
      <c r="A46" s="169">
        <v>36006</v>
      </c>
      <c r="B46" s="170" t="s">
        <v>249</v>
      </c>
      <c r="C46" s="171" t="s">
        <v>250</v>
      </c>
      <c r="D46" s="172">
        <v>1650</v>
      </c>
      <c r="E46" s="173">
        <f>D46*2.8</f>
        <v>4620</v>
      </c>
      <c r="F46" s="172">
        <v>1700</v>
      </c>
      <c r="G46" s="174">
        <f>F46*2.8</f>
        <v>4760</v>
      </c>
      <c r="H46" s="172">
        <v>1800</v>
      </c>
      <c r="I46" s="174">
        <f>H46*2.8</f>
        <v>5040</v>
      </c>
      <c r="J46" s="172">
        <v>1800</v>
      </c>
      <c r="K46" s="174">
        <f>J46*2.8</f>
        <v>5040</v>
      </c>
      <c r="L46" s="172">
        <v>1800</v>
      </c>
      <c r="M46" s="174">
        <f>L46*2.8</f>
        <v>5040</v>
      </c>
      <c r="N46" s="174"/>
      <c r="O46" s="174"/>
      <c r="P46" s="172">
        <v>1600</v>
      </c>
      <c r="Q46" s="174">
        <f>P46*2.8</f>
        <v>4480</v>
      </c>
    </row>
    <row r="47" spans="1:64" ht="21" customHeight="1">
      <c r="A47" s="169">
        <v>36015</v>
      </c>
      <c r="B47" s="170" t="s">
        <v>251</v>
      </c>
      <c r="C47" s="171" t="s">
        <v>252</v>
      </c>
      <c r="D47" s="174">
        <v>700</v>
      </c>
      <c r="E47" s="173">
        <f>D47*0.7</f>
        <v>489.99999999999994</v>
      </c>
      <c r="F47" s="172">
        <f>D47*117%</f>
        <v>819</v>
      </c>
      <c r="G47" s="174">
        <f>F47*2.5</f>
        <v>2047.5</v>
      </c>
      <c r="H47" s="174">
        <v>850</v>
      </c>
      <c r="I47" s="174">
        <f>H47*2.5</f>
        <v>2125</v>
      </c>
      <c r="J47" s="174">
        <v>1100</v>
      </c>
      <c r="K47" s="174">
        <f>J47*2.5</f>
        <v>2750</v>
      </c>
      <c r="L47" s="174">
        <v>1200</v>
      </c>
      <c r="M47" s="174">
        <f>L47*2.5</f>
        <v>3000</v>
      </c>
      <c r="N47" s="174"/>
      <c r="O47" s="174"/>
      <c r="P47" s="174">
        <v>1200</v>
      </c>
      <c r="Q47" s="174">
        <f>P47*2.5</f>
        <v>3000</v>
      </c>
    </row>
    <row r="48" spans="1:64" ht="21" customHeight="1">
      <c r="A48" s="169">
        <v>36015</v>
      </c>
      <c r="B48" s="170" t="s">
        <v>253</v>
      </c>
      <c r="C48" s="171" t="s">
        <v>252</v>
      </c>
      <c r="D48" s="174">
        <v>2550</v>
      </c>
      <c r="E48" s="173">
        <f>D48*0.5</f>
        <v>1275</v>
      </c>
      <c r="F48" s="172">
        <f>D48*117%</f>
        <v>2983.5</v>
      </c>
      <c r="G48" s="174">
        <f>F48*0.5</f>
        <v>1491.75</v>
      </c>
      <c r="H48" s="174">
        <v>3000</v>
      </c>
      <c r="I48" s="174">
        <f>H48*0.5</f>
        <v>1500</v>
      </c>
      <c r="J48" s="174">
        <v>3000</v>
      </c>
      <c r="K48" s="174">
        <f>J48*0.5</f>
        <v>1500</v>
      </c>
      <c r="L48" s="174">
        <v>3100</v>
      </c>
      <c r="M48" s="174">
        <f>L48*0.5</f>
        <v>1550</v>
      </c>
      <c r="N48" s="174"/>
      <c r="O48" s="174"/>
      <c r="P48" s="174">
        <v>3100</v>
      </c>
      <c r="Q48" s="174">
        <f>P48*0.5</f>
        <v>1550</v>
      </c>
    </row>
    <row r="49" spans="1:17" ht="21" customHeight="1">
      <c r="A49" s="169">
        <v>36016</v>
      </c>
      <c r="B49" s="170" t="s">
        <v>254</v>
      </c>
      <c r="C49" s="171" t="s">
        <v>252</v>
      </c>
      <c r="D49" s="172">
        <v>550</v>
      </c>
      <c r="E49" s="173">
        <f>D49*11</f>
        <v>6050</v>
      </c>
      <c r="F49" s="172">
        <f>D49*117%</f>
        <v>643.5</v>
      </c>
      <c r="G49" s="174">
        <f>F49*11</f>
        <v>7078.5</v>
      </c>
      <c r="H49" s="172">
        <v>650</v>
      </c>
      <c r="I49" s="174">
        <f>H49*12</f>
        <v>7800</v>
      </c>
      <c r="J49" s="172">
        <v>650</v>
      </c>
      <c r="K49" s="174">
        <f>J49*12</f>
        <v>7800</v>
      </c>
      <c r="L49" s="172">
        <v>670</v>
      </c>
      <c r="M49" s="174">
        <f>L49*12</f>
        <v>8040</v>
      </c>
      <c r="N49" s="174"/>
      <c r="O49" s="174"/>
      <c r="P49" s="172">
        <v>670</v>
      </c>
      <c r="Q49" s="174">
        <f>P49*12</f>
        <v>8040</v>
      </c>
    </row>
    <row r="50" spans="1:17" ht="21" customHeight="1">
      <c r="A50" s="169">
        <v>36021</v>
      </c>
      <c r="B50" s="170" t="s">
        <v>255</v>
      </c>
      <c r="C50" s="171" t="s">
        <v>252</v>
      </c>
      <c r="D50" s="172">
        <v>450</v>
      </c>
      <c r="E50" s="173">
        <f>D50*8</f>
        <v>3600</v>
      </c>
      <c r="F50" s="172">
        <f>D50*117%</f>
        <v>526.5</v>
      </c>
      <c r="G50" s="174">
        <f>F50*8</f>
        <v>4212</v>
      </c>
      <c r="H50" s="172">
        <v>540</v>
      </c>
      <c r="I50" s="174">
        <f>H50*8</f>
        <v>4320</v>
      </c>
      <c r="J50" s="172">
        <v>560</v>
      </c>
      <c r="K50" s="174">
        <f>J50*8</f>
        <v>4480</v>
      </c>
      <c r="L50" s="172">
        <v>600</v>
      </c>
      <c r="M50" s="174">
        <f>L50*8</f>
        <v>4800</v>
      </c>
      <c r="N50" s="174"/>
      <c r="O50" s="174"/>
      <c r="P50" s="172">
        <v>600</v>
      </c>
      <c r="Q50" s="174">
        <f>P50*8</f>
        <v>4800</v>
      </c>
    </row>
    <row r="51" spans="1:17" ht="21" customHeight="1">
      <c r="A51" s="169">
        <v>36027</v>
      </c>
      <c r="B51" s="170" t="s">
        <v>256</v>
      </c>
      <c r="C51" s="171" t="s">
        <v>252</v>
      </c>
      <c r="D51" s="172">
        <v>145</v>
      </c>
      <c r="E51" s="173">
        <f>D51*11</f>
        <v>1595</v>
      </c>
      <c r="F51" s="172">
        <f>D51*117%</f>
        <v>169.64999999999998</v>
      </c>
      <c r="G51" s="174">
        <f>F51*11</f>
        <v>1866.1499999999996</v>
      </c>
      <c r="H51" s="172">
        <v>175</v>
      </c>
      <c r="I51" s="174">
        <f>H51*11</f>
        <v>1925</v>
      </c>
      <c r="J51" s="172">
        <v>175</v>
      </c>
      <c r="K51" s="174">
        <f>J51*11</f>
        <v>1925</v>
      </c>
      <c r="L51" s="172">
        <v>160</v>
      </c>
      <c r="M51" s="174">
        <f>L51*11</f>
        <v>1760</v>
      </c>
      <c r="N51" s="174"/>
      <c r="O51" s="174"/>
      <c r="P51" s="172">
        <v>160</v>
      </c>
      <c r="Q51" s="174">
        <f>P51*11</f>
        <v>1760</v>
      </c>
    </row>
    <row r="52" spans="1:17" s="168" customFormat="1" ht="21" customHeight="1">
      <c r="A52" s="178" t="s">
        <v>257</v>
      </c>
      <c r="B52" s="164" t="s">
        <v>258</v>
      </c>
      <c r="C52" s="180"/>
      <c r="D52" s="181"/>
      <c r="E52" s="182">
        <f>E54+E55</f>
        <v>46560</v>
      </c>
      <c r="F52" s="181"/>
      <c r="G52" s="183">
        <f>G54+G55</f>
        <v>69480</v>
      </c>
      <c r="H52" s="181"/>
      <c r="I52" s="183">
        <f>I54+I55+I53</f>
        <v>67727.238285436877</v>
      </c>
      <c r="J52" s="181"/>
      <c r="K52" s="183">
        <f>K54+K55+K53</f>
        <v>62395.638800000001</v>
      </c>
      <c r="L52" s="183"/>
      <c r="M52" s="183">
        <f>M54+M55+M53</f>
        <v>78710.899999999994</v>
      </c>
      <c r="N52" s="183"/>
      <c r="O52" s="183"/>
      <c r="P52" s="183"/>
      <c r="Q52" s="183">
        <f>Q54+Q55+Q53</f>
        <v>82064.538</v>
      </c>
    </row>
    <row r="53" spans="1:17" s="168" customFormat="1" ht="21" customHeight="1">
      <c r="A53" s="169">
        <v>36027</v>
      </c>
      <c r="B53" s="192" t="s">
        <v>259</v>
      </c>
      <c r="C53" s="193"/>
      <c r="D53" s="194"/>
      <c r="E53" s="195"/>
      <c r="F53" s="194"/>
      <c r="G53" s="196"/>
      <c r="H53" s="197">
        <v>18582524.271844659</v>
      </c>
      <c r="I53" s="174">
        <f>H53*0.00105</f>
        <v>19511.65048543689</v>
      </c>
      <c r="J53" s="174">
        <f>J54*32%</f>
        <v>13273600</v>
      </c>
      <c r="K53" s="174">
        <f>J53*0.00105</f>
        <v>13937.279999999999</v>
      </c>
      <c r="L53" s="198">
        <v>16500000</v>
      </c>
      <c r="M53" s="174">
        <f>L53*0.00105</f>
        <v>17325</v>
      </c>
      <c r="N53" s="174"/>
      <c r="O53" s="174"/>
      <c r="P53" s="174">
        <v>17500000</v>
      </c>
      <c r="Q53" s="174">
        <f>P53*0.00105</f>
        <v>18375</v>
      </c>
    </row>
    <row r="54" spans="1:17" ht="21" customHeight="1">
      <c r="A54" s="169">
        <v>36028</v>
      </c>
      <c r="B54" s="170" t="s">
        <v>260</v>
      </c>
      <c r="C54" s="199">
        <v>1000</v>
      </c>
      <c r="D54" s="169">
        <v>39200000</v>
      </c>
      <c r="E54" s="173">
        <f>D54*0.00105</f>
        <v>41160</v>
      </c>
      <c r="F54" s="169">
        <v>60000000</v>
      </c>
      <c r="G54" s="174">
        <f>F54*0.00105</f>
        <v>62999.999999999993</v>
      </c>
      <c r="H54" s="169">
        <v>39417476</v>
      </c>
      <c r="I54" s="174">
        <f>H54*0.00105</f>
        <v>41388.349799999996</v>
      </c>
      <c r="J54" s="169">
        <v>41480000</v>
      </c>
      <c r="K54" s="174">
        <f>J54*0.00105</f>
        <v>43554</v>
      </c>
      <c r="L54" s="198">
        <v>51500000</v>
      </c>
      <c r="M54" s="174">
        <f>L54*0.00105</f>
        <v>54075</v>
      </c>
      <c r="N54" s="174"/>
      <c r="O54" s="174"/>
      <c r="P54" s="198">
        <v>53500000</v>
      </c>
      <c r="Q54" s="174">
        <f>P54*0.00105</f>
        <v>56175</v>
      </c>
    </row>
    <row r="55" spans="1:17" ht="21" customHeight="1">
      <c r="A55" s="169">
        <v>36029</v>
      </c>
      <c r="B55" s="170" t="s">
        <v>261</v>
      </c>
      <c r="C55" s="199" t="s">
        <v>154</v>
      </c>
      <c r="D55" s="169">
        <v>450000</v>
      </c>
      <c r="E55" s="173">
        <f>D55*0.012</f>
        <v>5400</v>
      </c>
      <c r="F55" s="169">
        <v>540000</v>
      </c>
      <c r="G55" s="174">
        <f>F55*0.012</f>
        <v>6480</v>
      </c>
      <c r="H55" s="169">
        <v>470844</v>
      </c>
      <c r="I55" s="174">
        <f>H55*0.0145</f>
        <v>6827.2380000000003</v>
      </c>
      <c r="J55" s="169">
        <v>505604</v>
      </c>
      <c r="K55" s="174">
        <f>J55*0.0097</f>
        <v>4904.3588</v>
      </c>
      <c r="L55" s="200">
        <v>504200</v>
      </c>
      <c r="M55" s="174">
        <f>L55*0.0145</f>
        <v>7310.9000000000005</v>
      </c>
      <c r="N55" s="174"/>
      <c r="O55" s="174"/>
      <c r="P55" s="201">
        <v>518244</v>
      </c>
      <c r="Q55" s="174">
        <f>P55*0.0145</f>
        <v>7514.5380000000005</v>
      </c>
    </row>
    <row r="56" spans="1:17">
      <c r="A56" s="157"/>
      <c r="B56" s="202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</row>
    <row r="57" spans="1:17" s="168" customFormat="1">
      <c r="A57" s="502" t="s">
        <v>262</v>
      </c>
      <c r="B57" s="502"/>
      <c r="C57" s="203"/>
      <c r="D57" s="204"/>
      <c r="E57" s="204">
        <f>E52+E14+E7</f>
        <v>355945.2</v>
      </c>
      <c r="F57" s="204"/>
      <c r="G57" s="204">
        <f>G52+G14+G7</f>
        <v>424999.94199999998</v>
      </c>
      <c r="H57" s="204"/>
      <c r="I57" s="204">
        <f>I52+I14+I7</f>
        <v>426843.06908543687</v>
      </c>
      <c r="J57" s="204"/>
      <c r="K57" s="204">
        <f>K52+K14+K7</f>
        <v>486641.09422000003</v>
      </c>
      <c r="L57" s="204">
        <f>L52+L14+L7</f>
        <v>0</v>
      </c>
      <c r="M57" s="204">
        <f>M52+M14+M7</f>
        <v>517314.69999999995</v>
      </c>
      <c r="N57" s="204"/>
      <c r="O57" s="204"/>
      <c r="P57" s="204"/>
      <c r="Q57" s="204">
        <f>Q52+Q14+Q7</f>
        <v>582145.53799999994</v>
      </c>
    </row>
    <row r="58" spans="1:17" ht="19.5">
      <c r="A58" s="157"/>
      <c r="B58" s="205" t="s">
        <v>263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</row>
    <row r="59" spans="1:17">
      <c r="A59" s="157">
        <v>1</v>
      </c>
      <c r="B59" s="206" t="s">
        <v>264</v>
      </c>
      <c r="C59" s="187"/>
      <c r="D59" s="207"/>
      <c r="E59" s="207">
        <f>E7</f>
        <v>22511</v>
      </c>
      <c r="F59" s="207"/>
      <c r="G59" s="207">
        <f>G7</f>
        <v>18430</v>
      </c>
      <c r="H59" s="207"/>
      <c r="I59" s="207">
        <f>I7</f>
        <v>14680</v>
      </c>
      <c r="J59" s="207"/>
      <c r="K59" s="207">
        <f>K7</f>
        <v>17230</v>
      </c>
      <c r="L59" s="207"/>
      <c r="M59" s="207">
        <f>M7</f>
        <v>9500</v>
      </c>
      <c r="N59" s="207"/>
      <c r="O59" s="207"/>
      <c r="P59" s="207"/>
      <c r="Q59" s="207">
        <f>Q7</f>
        <v>7550</v>
      </c>
    </row>
    <row r="60" spans="1:17">
      <c r="A60" s="157">
        <v>2</v>
      </c>
      <c r="B60" s="206" t="s">
        <v>265</v>
      </c>
      <c r="C60" s="187"/>
      <c r="D60" s="207"/>
      <c r="E60" s="207">
        <f>E14</f>
        <v>286874.2</v>
      </c>
      <c r="F60" s="207"/>
      <c r="G60" s="207">
        <f>G14</f>
        <v>337089.94199999998</v>
      </c>
      <c r="H60" s="207"/>
      <c r="I60" s="207">
        <f>I14</f>
        <v>344435.8308</v>
      </c>
      <c r="J60" s="207"/>
      <c r="K60" s="207">
        <f>K14</f>
        <v>407015.45542000001</v>
      </c>
      <c r="L60" s="207"/>
      <c r="M60" s="207">
        <f>M14</f>
        <v>429103.8</v>
      </c>
      <c r="N60" s="207"/>
      <c r="O60" s="207"/>
      <c r="P60" s="207"/>
      <c r="Q60" s="207">
        <f>Q14</f>
        <v>492531</v>
      </c>
    </row>
    <row r="61" spans="1:17">
      <c r="A61" s="157">
        <v>3</v>
      </c>
      <c r="B61" s="206" t="s">
        <v>266</v>
      </c>
      <c r="C61" s="187"/>
      <c r="D61" s="207"/>
      <c r="E61" s="207">
        <f>E52</f>
        <v>46560</v>
      </c>
      <c r="F61" s="207"/>
      <c r="G61" s="207">
        <f>G52</f>
        <v>69480</v>
      </c>
      <c r="H61" s="207"/>
      <c r="I61" s="207">
        <f>I52</f>
        <v>67727.238285436877</v>
      </c>
      <c r="J61" s="207"/>
      <c r="K61" s="207">
        <f>K52</f>
        <v>62395.638800000001</v>
      </c>
      <c r="L61" s="207"/>
      <c r="M61" s="207">
        <f>M52</f>
        <v>78710.899999999994</v>
      </c>
      <c r="N61" s="207"/>
      <c r="O61" s="207"/>
      <c r="P61" s="207"/>
      <c r="Q61" s="207">
        <f>Q52</f>
        <v>82064.538</v>
      </c>
    </row>
    <row r="63" spans="1:17">
      <c r="D63" s="209"/>
      <c r="E63" s="209"/>
      <c r="F63" s="209"/>
      <c r="G63" s="209"/>
    </row>
    <row r="64" spans="1:17">
      <c r="D64" s="209"/>
      <c r="E64" s="209"/>
      <c r="F64" s="209"/>
      <c r="G64" s="209"/>
      <c r="I64" s="176"/>
      <c r="J64" s="176"/>
      <c r="K64" s="176"/>
      <c r="L64" s="210"/>
      <c r="M64" s="176"/>
      <c r="N64" s="176"/>
      <c r="O64" s="176"/>
      <c r="P64" s="176"/>
      <c r="Q64" s="176"/>
    </row>
    <row r="65" spans="4:11">
      <c r="D65" s="209"/>
      <c r="E65" s="209"/>
      <c r="F65" s="209"/>
      <c r="G65" s="209"/>
      <c r="I65" s="211"/>
    </row>
    <row r="67" spans="4:11">
      <c r="K67" s="154">
        <v>9.6999999999999993</v>
      </c>
    </row>
  </sheetData>
  <mergeCells count="13">
    <mergeCell ref="L4:M4"/>
    <mergeCell ref="P4:Q4"/>
    <mergeCell ref="A57:B57"/>
    <mergeCell ref="B1:Q1"/>
    <mergeCell ref="B2:Q2"/>
    <mergeCell ref="B3:Q3"/>
    <mergeCell ref="A4:A5"/>
    <mergeCell ref="B4:B5"/>
    <mergeCell ref="C4:C5"/>
    <mergeCell ref="D4:E4"/>
    <mergeCell ref="F4:G4"/>
    <mergeCell ref="H4:I4"/>
    <mergeCell ref="J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4" sqref="I14"/>
    </sheetView>
  </sheetViews>
  <sheetFormatPr defaultRowHeight="14.25"/>
  <cols>
    <col min="1" max="1" width="34" customWidth="1"/>
    <col min="2" max="2" width="14.25" customWidth="1"/>
  </cols>
  <sheetData>
    <row r="1" spans="1:9" ht="15" thickBot="1"/>
    <row r="2" spans="1:9" ht="16.5" thickTop="1">
      <c r="A2" s="488" t="s">
        <v>3</v>
      </c>
      <c r="B2" s="134"/>
      <c r="C2" s="492" t="s">
        <v>72</v>
      </c>
      <c r="D2" s="494" t="s">
        <v>70</v>
      </c>
      <c r="E2" s="495"/>
      <c r="F2" s="492" t="s">
        <v>312</v>
      </c>
      <c r="G2" s="490" t="s">
        <v>4</v>
      </c>
      <c r="H2" s="490"/>
      <c r="I2" s="491"/>
    </row>
    <row r="3" spans="1:9" ht="43.5" thickBot="1">
      <c r="A3" s="489"/>
      <c r="B3" s="135"/>
      <c r="C3" s="493"/>
      <c r="D3" s="86" t="s">
        <v>73</v>
      </c>
      <c r="E3" s="86" t="s">
        <v>316</v>
      </c>
      <c r="F3" s="493"/>
      <c r="G3" s="3" t="s">
        <v>5</v>
      </c>
      <c r="H3" s="4" t="s">
        <v>6</v>
      </c>
      <c r="I3" s="89" t="s">
        <v>71</v>
      </c>
    </row>
    <row r="4" spans="1:9" ht="16.5" thickTop="1">
      <c r="A4" s="119" t="s">
        <v>43</v>
      </c>
      <c r="B4" s="120" t="s">
        <v>10</v>
      </c>
      <c r="C4" s="123">
        <f>SUM(C5:C8)</f>
        <v>491000</v>
      </c>
      <c r="D4" s="123">
        <f>SUM(D5:D8)</f>
        <v>530000</v>
      </c>
      <c r="E4" s="123">
        <f>SUM(E5:E8)</f>
        <v>540000</v>
      </c>
      <c r="F4" s="123">
        <f>SUM(F5:F8)</f>
        <v>594000</v>
      </c>
      <c r="G4" s="96"/>
    </row>
    <row r="5" spans="1:9" ht="15.75">
      <c r="A5" s="122" t="s">
        <v>44</v>
      </c>
      <c r="B5" s="121" t="s">
        <v>10</v>
      </c>
      <c r="C5" s="97">
        <v>308000</v>
      </c>
      <c r="D5" s="97">
        <v>60000</v>
      </c>
      <c r="E5" s="97">
        <v>62000</v>
      </c>
      <c r="F5" s="432">
        <v>69480</v>
      </c>
      <c r="G5" s="97"/>
    </row>
    <row r="6" spans="1:9" ht="15.75">
      <c r="A6" s="122" t="s">
        <v>45</v>
      </c>
      <c r="B6" s="121" t="s">
        <v>10</v>
      </c>
      <c r="C6" s="97">
        <v>40000</v>
      </c>
      <c r="D6" s="97">
        <v>80000</v>
      </c>
      <c r="E6" s="97">
        <v>81000</v>
      </c>
      <c r="F6" s="432">
        <f>E6*112%</f>
        <v>90720.000000000015</v>
      </c>
      <c r="G6" s="97"/>
    </row>
    <row r="7" spans="1:9" ht="15.75">
      <c r="A7" s="122" t="s">
        <v>46</v>
      </c>
      <c r="B7" s="121" t="s">
        <v>10</v>
      </c>
      <c r="C7" s="97">
        <v>29000</v>
      </c>
      <c r="D7" s="97">
        <v>90000</v>
      </c>
      <c r="E7" s="97">
        <v>90000</v>
      </c>
      <c r="F7" s="432">
        <f>E7*112%</f>
        <v>100800.00000000001</v>
      </c>
      <c r="G7" s="97"/>
    </row>
    <row r="8" spans="1:9" ht="15.75">
      <c r="A8" s="122" t="s">
        <v>47</v>
      </c>
      <c r="B8" s="121" t="s">
        <v>10</v>
      </c>
      <c r="C8" s="97">
        <v>114000</v>
      </c>
      <c r="D8" s="97">
        <v>300000</v>
      </c>
      <c r="E8" s="97">
        <v>307000</v>
      </c>
      <c r="F8" s="432">
        <v>333000</v>
      </c>
      <c r="G8" s="97"/>
    </row>
  </sheetData>
  <mergeCells count="5">
    <mergeCell ref="A2:A3"/>
    <mergeCell ref="C2:C3"/>
    <mergeCell ref="D2:E2"/>
    <mergeCell ref="F2:F3"/>
    <mergeCell ref="G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A10" workbookViewId="0">
      <selection activeCell="U16" sqref="U16"/>
    </sheetView>
  </sheetViews>
  <sheetFormatPr defaultRowHeight="15.75"/>
  <cols>
    <col min="1" max="1" width="5.875" style="216" customWidth="1"/>
    <col min="2" max="2" width="42.875" style="213" customWidth="1"/>
    <col min="3" max="3" width="16.625" style="214" customWidth="1"/>
    <col min="4" max="4" width="11.625" style="214" hidden="1" customWidth="1"/>
    <col min="5" max="5" width="11.625" style="216" hidden="1" customWidth="1"/>
    <col min="6" max="7" width="11.625" style="152" hidden="1" customWidth="1"/>
    <col min="8" max="8" width="0.25" style="152" customWidth="1"/>
    <col min="9" max="9" width="11.375" style="152" hidden="1" customWidth="1"/>
    <col min="10" max="10" width="9.875" style="152" hidden="1" customWidth="1"/>
    <col min="11" max="11" width="11.375" style="152" customWidth="1"/>
    <col min="12" max="14" width="13.625" style="152" hidden="1" customWidth="1"/>
    <col min="15" max="15" width="12.375" style="152" hidden="1" customWidth="1"/>
    <col min="16" max="16" width="18.875" style="152" hidden="1" customWidth="1"/>
    <col min="17" max="17" width="10.75" style="152" hidden="1" customWidth="1"/>
    <col min="18" max="18" width="0" style="152" hidden="1" customWidth="1"/>
    <col min="19" max="19" width="29.75" style="152" hidden="1" customWidth="1"/>
    <col min="20" max="20" width="0" style="152" hidden="1" customWidth="1"/>
    <col min="21" max="21" width="16" style="152" bestFit="1" customWidth="1"/>
    <col min="22" max="22" width="13.625" style="152" customWidth="1"/>
    <col min="23" max="23" width="15.75" style="152" bestFit="1" customWidth="1"/>
    <col min="24" max="24" width="11.625" style="152" bestFit="1" customWidth="1"/>
    <col min="25" max="256" width="9.125" style="152"/>
    <col min="257" max="257" width="5.875" style="152" customWidth="1"/>
    <col min="258" max="258" width="42.875" style="152" customWidth="1"/>
    <col min="259" max="259" width="16.625" style="152" customWidth="1"/>
    <col min="260" max="263" width="0" style="152" hidden="1" customWidth="1"/>
    <col min="264" max="264" width="0.25" style="152" customWidth="1"/>
    <col min="265" max="266" width="0" style="152" hidden="1" customWidth="1"/>
    <col min="267" max="267" width="11.375" style="152" customWidth="1"/>
    <col min="268" max="276" width="0" style="152" hidden="1" customWidth="1"/>
    <col min="277" max="277" width="14.75" style="152" bestFit="1" customWidth="1"/>
    <col min="278" max="512" width="9.125" style="152"/>
    <col min="513" max="513" width="5.875" style="152" customWidth="1"/>
    <col min="514" max="514" width="42.875" style="152" customWidth="1"/>
    <col min="515" max="515" width="16.625" style="152" customWidth="1"/>
    <col min="516" max="519" width="0" style="152" hidden="1" customWidth="1"/>
    <col min="520" max="520" width="0.25" style="152" customWidth="1"/>
    <col min="521" max="522" width="0" style="152" hidden="1" customWidth="1"/>
    <col min="523" max="523" width="11.375" style="152" customWidth="1"/>
    <col min="524" max="532" width="0" style="152" hidden="1" customWidth="1"/>
    <col min="533" max="533" width="14.75" style="152" bestFit="1" customWidth="1"/>
    <col min="534" max="768" width="9.125" style="152"/>
    <col min="769" max="769" width="5.875" style="152" customWidth="1"/>
    <col min="770" max="770" width="42.875" style="152" customWidth="1"/>
    <col min="771" max="771" width="16.625" style="152" customWidth="1"/>
    <col min="772" max="775" width="0" style="152" hidden="1" customWidth="1"/>
    <col min="776" max="776" width="0.25" style="152" customWidth="1"/>
    <col min="777" max="778" width="0" style="152" hidden="1" customWidth="1"/>
    <col min="779" max="779" width="11.375" style="152" customWidth="1"/>
    <col min="780" max="788" width="0" style="152" hidden="1" customWidth="1"/>
    <col min="789" max="789" width="14.75" style="152" bestFit="1" customWidth="1"/>
    <col min="790" max="1024" width="9.125" style="152"/>
    <col min="1025" max="1025" width="5.875" style="152" customWidth="1"/>
    <col min="1026" max="1026" width="42.875" style="152" customWidth="1"/>
    <col min="1027" max="1027" width="16.625" style="152" customWidth="1"/>
    <col min="1028" max="1031" width="0" style="152" hidden="1" customWidth="1"/>
    <col min="1032" max="1032" width="0.25" style="152" customWidth="1"/>
    <col min="1033" max="1034" width="0" style="152" hidden="1" customWidth="1"/>
    <col min="1035" max="1035" width="11.375" style="152" customWidth="1"/>
    <col min="1036" max="1044" width="0" style="152" hidden="1" customWidth="1"/>
    <col min="1045" max="1045" width="14.75" style="152" bestFit="1" customWidth="1"/>
    <col min="1046" max="1280" width="9.125" style="152"/>
    <col min="1281" max="1281" width="5.875" style="152" customWidth="1"/>
    <col min="1282" max="1282" width="42.875" style="152" customWidth="1"/>
    <col min="1283" max="1283" width="16.625" style="152" customWidth="1"/>
    <col min="1284" max="1287" width="0" style="152" hidden="1" customWidth="1"/>
    <col min="1288" max="1288" width="0.25" style="152" customWidth="1"/>
    <col min="1289" max="1290" width="0" style="152" hidden="1" customWidth="1"/>
    <col min="1291" max="1291" width="11.375" style="152" customWidth="1"/>
    <col min="1292" max="1300" width="0" style="152" hidden="1" customWidth="1"/>
    <col min="1301" max="1301" width="14.75" style="152" bestFit="1" customWidth="1"/>
    <col min="1302" max="1536" width="9.125" style="152"/>
    <col min="1537" max="1537" width="5.875" style="152" customWidth="1"/>
    <col min="1538" max="1538" width="42.875" style="152" customWidth="1"/>
    <col min="1539" max="1539" width="16.625" style="152" customWidth="1"/>
    <col min="1540" max="1543" width="0" style="152" hidden="1" customWidth="1"/>
    <col min="1544" max="1544" width="0.25" style="152" customWidth="1"/>
    <col min="1545" max="1546" width="0" style="152" hidden="1" customWidth="1"/>
    <col min="1547" max="1547" width="11.375" style="152" customWidth="1"/>
    <col min="1548" max="1556" width="0" style="152" hidden="1" customWidth="1"/>
    <col min="1557" max="1557" width="14.75" style="152" bestFit="1" customWidth="1"/>
    <col min="1558" max="1792" width="9.125" style="152"/>
    <col min="1793" max="1793" width="5.875" style="152" customWidth="1"/>
    <col min="1794" max="1794" width="42.875" style="152" customWidth="1"/>
    <col min="1795" max="1795" width="16.625" style="152" customWidth="1"/>
    <col min="1796" max="1799" width="0" style="152" hidden="1" customWidth="1"/>
    <col min="1800" max="1800" width="0.25" style="152" customWidth="1"/>
    <col min="1801" max="1802" width="0" style="152" hidden="1" customWidth="1"/>
    <col min="1803" max="1803" width="11.375" style="152" customWidth="1"/>
    <col min="1804" max="1812" width="0" style="152" hidden="1" customWidth="1"/>
    <col min="1813" max="1813" width="14.75" style="152" bestFit="1" customWidth="1"/>
    <col min="1814" max="2048" width="9.125" style="152"/>
    <col min="2049" max="2049" width="5.875" style="152" customWidth="1"/>
    <col min="2050" max="2050" width="42.875" style="152" customWidth="1"/>
    <col min="2051" max="2051" width="16.625" style="152" customWidth="1"/>
    <col min="2052" max="2055" width="0" style="152" hidden="1" customWidth="1"/>
    <col min="2056" max="2056" width="0.25" style="152" customWidth="1"/>
    <col min="2057" max="2058" width="0" style="152" hidden="1" customWidth="1"/>
    <col min="2059" max="2059" width="11.375" style="152" customWidth="1"/>
    <col min="2060" max="2068" width="0" style="152" hidden="1" customWidth="1"/>
    <col min="2069" max="2069" width="14.75" style="152" bestFit="1" customWidth="1"/>
    <col min="2070" max="2304" width="9.125" style="152"/>
    <col min="2305" max="2305" width="5.875" style="152" customWidth="1"/>
    <col min="2306" max="2306" width="42.875" style="152" customWidth="1"/>
    <col min="2307" max="2307" width="16.625" style="152" customWidth="1"/>
    <col min="2308" max="2311" width="0" style="152" hidden="1" customWidth="1"/>
    <col min="2312" max="2312" width="0.25" style="152" customWidth="1"/>
    <col min="2313" max="2314" width="0" style="152" hidden="1" customWidth="1"/>
    <col min="2315" max="2315" width="11.375" style="152" customWidth="1"/>
    <col min="2316" max="2324" width="0" style="152" hidden="1" customWidth="1"/>
    <col min="2325" max="2325" width="14.75" style="152" bestFit="1" customWidth="1"/>
    <col min="2326" max="2560" width="9.125" style="152"/>
    <col min="2561" max="2561" width="5.875" style="152" customWidth="1"/>
    <col min="2562" max="2562" width="42.875" style="152" customWidth="1"/>
    <col min="2563" max="2563" width="16.625" style="152" customWidth="1"/>
    <col min="2564" max="2567" width="0" style="152" hidden="1" customWidth="1"/>
    <col min="2568" max="2568" width="0.25" style="152" customWidth="1"/>
    <col min="2569" max="2570" width="0" style="152" hidden="1" customWidth="1"/>
    <col min="2571" max="2571" width="11.375" style="152" customWidth="1"/>
    <col min="2572" max="2580" width="0" style="152" hidden="1" customWidth="1"/>
    <col min="2581" max="2581" width="14.75" style="152" bestFit="1" customWidth="1"/>
    <col min="2582" max="2816" width="9.125" style="152"/>
    <col min="2817" max="2817" width="5.875" style="152" customWidth="1"/>
    <col min="2818" max="2818" width="42.875" style="152" customWidth="1"/>
    <col min="2819" max="2819" width="16.625" style="152" customWidth="1"/>
    <col min="2820" max="2823" width="0" style="152" hidden="1" customWidth="1"/>
    <col min="2824" max="2824" width="0.25" style="152" customWidth="1"/>
    <col min="2825" max="2826" width="0" style="152" hidden="1" customWidth="1"/>
    <col min="2827" max="2827" width="11.375" style="152" customWidth="1"/>
    <col min="2828" max="2836" width="0" style="152" hidden="1" customWidth="1"/>
    <col min="2837" max="2837" width="14.75" style="152" bestFit="1" customWidth="1"/>
    <col min="2838" max="3072" width="9.125" style="152"/>
    <col min="3073" max="3073" width="5.875" style="152" customWidth="1"/>
    <col min="3074" max="3074" width="42.875" style="152" customWidth="1"/>
    <col min="3075" max="3075" width="16.625" style="152" customWidth="1"/>
    <col min="3076" max="3079" width="0" style="152" hidden="1" customWidth="1"/>
    <col min="3080" max="3080" width="0.25" style="152" customWidth="1"/>
    <col min="3081" max="3082" width="0" style="152" hidden="1" customWidth="1"/>
    <col min="3083" max="3083" width="11.375" style="152" customWidth="1"/>
    <col min="3084" max="3092" width="0" style="152" hidden="1" customWidth="1"/>
    <col min="3093" max="3093" width="14.75" style="152" bestFit="1" customWidth="1"/>
    <col min="3094" max="3328" width="9.125" style="152"/>
    <col min="3329" max="3329" width="5.875" style="152" customWidth="1"/>
    <col min="3330" max="3330" width="42.875" style="152" customWidth="1"/>
    <col min="3331" max="3331" width="16.625" style="152" customWidth="1"/>
    <col min="3332" max="3335" width="0" style="152" hidden="1" customWidth="1"/>
    <col min="3336" max="3336" width="0.25" style="152" customWidth="1"/>
    <col min="3337" max="3338" width="0" style="152" hidden="1" customWidth="1"/>
    <col min="3339" max="3339" width="11.375" style="152" customWidth="1"/>
    <col min="3340" max="3348" width="0" style="152" hidden="1" customWidth="1"/>
    <col min="3349" max="3349" width="14.75" style="152" bestFit="1" customWidth="1"/>
    <col min="3350" max="3584" width="9.125" style="152"/>
    <col min="3585" max="3585" width="5.875" style="152" customWidth="1"/>
    <col min="3586" max="3586" width="42.875" style="152" customWidth="1"/>
    <col min="3587" max="3587" width="16.625" style="152" customWidth="1"/>
    <col min="3588" max="3591" width="0" style="152" hidden="1" customWidth="1"/>
    <col min="3592" max="3592" width="0.25" style="152" customWidth="1"/>
    <col min="3593" max="3594" width="0" style="152" hidden="1" customWidth="1"/>
    <col min="3595" max="3595" width="11.375" style="152" customWidth="1"/>
    <col min="3596" max="3604" width="0" style="152" hidden="1" customWidth="1"/>
    <col min="3605" max="3605" width="14.75" style="152" bestFit="1" customWidth="1"/>
    <col min="3606" max="3840" width="9.125" style="152"/>
    <col min="3841" max="3841" width="5.875" style="152" customWidth="1"/>
    <col min="3842" max="3842" width="42.875" style="152" customWidth="1"/>
    <col min="3843" max="3843" width="16.625" style="152" customWidth="1"/>
    <col min="3844" max="3847" width="0" style="152" hidden="1" customWidth="1"/>
    <col min="3848" max="3848" width="0.25" style="152" customWidth="1"/>
    <col min="3849" max="3850" width="0" style="152" hidden="1" customWidth="1"/>
    <col min="3851" max="3851" width="11.375" style="152" customWidth="1"/>
    <col min="3852" max="3860" width="0" style="152" hidden="1" customWidth="1"/>
    <col min="3861" max="3861" width="14.75" style="152" bestFit="1" customWidth="1"/>
    <col min="3862" max="4096" width="9.125" style="152"/>
    <col min="4097" max="4097" width="5.875" style="152" customWidth="1"/>
    <col min="4098" max="4098" width="42.875" style="152" customWidth="1"/>
    <col min="4099" max="4099" width="16.625" style="152" customWidth="1"/>
    <col min="4100" max="4103" width="0" style="152" hidden="1" customWidth="1"/>
    <col min="4104" max="4104" width="0.25" style="152" customWidth="1"/>
    <col min="4105" max="4106" width="0" style="152" hidden="1" customWidth="1"/>
    <col min="4107" max="4107" width="11.375" style="152" customWidth="1"/>
    <col min="4108" max="4116" width="0" style="152" hidden="1" customWidth="1"/>
    <col min="4117" max="4117" width="14.75" style="152" bestFit="1" customWidth="1"/>
    <col min="4118" max="4352" width="9.125" style="152"/>
    <col min="4353" max="4353" width="5.875" style="152" customWidth="1"/>
    <col min="4354" max="4354" width="42.875" style="152" customWidth="1"/>
    <col min="4355" max="4355" width="16.625" style="152" customWidth="1"/>
    <col min="4356" max="4359" width="0" style="152" hidden="1" customWidth="1"/>
    <col min="4360" max="4360" width="0.25" style="152" customWidth="1"/>
    <col min="4361" max="4362" width="0" style="152" hidden="1" customWidth="1"/>
    <col min="4363" max="4363" width="11.375" style="152" customWidth="1"/>
    <col min="4364" max="4372" width="0" style="152" hidden="1" customWidth="1"/>
    <col min="4373" max="4373" width="14.75" style="152" bestFit="1" customWidth="1"/>
    <col min="4374" max="4608" width="9.125" style="152"/>
    <col min="4609" max="4609" width="5.875" style="152" customWidth="1"/>
    <col min="4610" max="4610" width="42.875" style="152" customWidth="1"/>
    <col min="4611" max="4611" width="16.625" style="152" customWidth="1"/>
    <col min="4612" max="4615" width="0" style="152" hidden="1" customWidth="1"/>
    <col min="4616" max="4616" width="0.25" style="152" customWidth="1"/>
    <col min="4617" max="4618" width="0" style="152" hidden="1" customWidth="1"/>
    <col min="4619" max="4619" width="11.375" style="152" customWidth="1"/>
    <col min="4620" max="4628" width="0" style="152" hidden="1" customWidth="1"/>
    <col min="4629" max="4629" width="14.75" style="152" bestFit="1" customWidth="1"/>
    <col min="4630" max="4864" width="9.125" style="152"/>
    <col min="4865" max="4865" width="5.875" style="152" customWidth="1"/>
    <col min="4866" max="4866" width="42.875" style="152" customWidth="1"/>
    <col min="4867" max="4867" width="16.625" style="152" customWidth="1"/>
    <col min="4868" max="4871" width="0" style="152" hidden="1" customWidth="1"/>
    <col min="4872" max="4872" width="0.25" style="152" customWidth="1"/>
    <col min="4873" max="4874" width="0" style="152" hidden="1" customWidth="1"/>
    <col min="4875" max="4875" width="11.375" style="152" customWidth="1"/>
    <col min="4876" max="4884" width="0" style="152" hidden="1" customWidth="1"/>
    <col min="4885" max="4885" width="14.75" style="152" bestFit="1" customWidth="1"/>
    <col min="4886" max="5120" width="9.125" style="152"/>
    <col min="5121" max="5121" width="5.875" style="152" customWidth="1"/>
    <col min="5122" max="5122" width="42.875" style="152" customWidth="1"/>
    <col min="5123" max="5123" width="16.625" style="152" customWidth="1"/>
    <col min="5124" max="5127" width="0" style="152" hidden="1" customWidth="1"/>
    <col min="5128" max="5128" width="0.25" style="152" customWidth="1"/>
    <col min="5129" max="5130" width="0" style="152" hidden="1" customWidth="1"/>
    <col min="5131" max="5131" width="11.375" style="152" customWidth="1"/>
    <col min="5132" max="5140" width="0" style="152" hidden="1" customWidth="1"/>
    <col min="5141" max="5141" width="14.75" style="152" bestFit="1" customWidth="1"/>
    <col min="5142" max="5376" width="9.125" style="152"/>
    <col min="5377" max="5377" width="5.875" style="152" customWidth="1"/>
    <col min="5378" max="5378" width="42.875" style="152" customWidth="1"/>
    <col min="5379" max="5379" width="16.625" style="152" customWidth="1"/>
    <col min="5380" max="5383" width="0" style="152" hidden="1" customWidth="1"/>
    <col min="5384" max="5384" width="0.25" style="152" customWidth="1"/>
    <col min="5385" max="5386" width="0" style="152" hidden="1" customWidth="1"/>
    <col min="5387" max="5387" width="11.375" style="152" customWidth="1"/>
    <col min="5388" max="5396" width="0" style="152" hidden="1" customWidth="1"/>
    <col min="5397" max="5397" width="14.75" style="152" bestFit="1" customWidth="1"/>
    <col min="5398" max="5632" width="9.125" style="152"/>
    <col min="5633" max="5633" width="5.875" style="152" customWidth="1"/>
    <col min="5634" max="5634" width="42.875" style="152" customWidth="1"/>
    <col min="5635" max="5635" width="16.625" style="152" customWidth="1"/>
    <col min="5636" max="5639" width="0" style="152" hidden="1" customWidth="1"/>
    <col min="5640" max="5640" width="0.25" style="152" customWidth="1"/>
    <col min="5641" max="5642" width="0" style="152" hidden="1" customWidth="1"/>
    <col min="5643" max="5643" width="11.375" style="152" customWidth="1"/>
    <col min="5644" max="5652" width="0" style="152" hidden="1" customWidth="1"/>
    <col min="5653" max="5653" width="14.75" style="152" bestFit="1" customWidth="1"/>
    <col min="5654" max="5888" width="9.125" style="152"/>
    <col min="5889" max="5889" width="5.875" style="152" customWidth="1"/>
    <col min="5890" max="5890" width="42.875" style="152" customWidth="1"/>
    <col min="5891" max="5891" width="16.625" style="152" customWidth="1"/>
    <col min="5892" max="5895" width="0" style="152" hidden="1" customWidth="1"/>
    <col min="5896" max="5896" width="0.25" style="152" customWidth="1"/>
    <col min="5897" max="5898" width="0" style="152" hidden="1" customWidth="1"/>
    <col min="5899" max="5899" width="11.375" style="152" customWidth="1"/>
    <col min="5900" max="5908" width="0" style="152" hidden="1" customWidth="1"/>
    <col min="5909" max="5909" width="14.75" style="152" bestFit="1" customWidth="1"/>
    <col min="5910" max="6144" width="9.125" style="152"/>
    <col min="6145" max="6145" width="5.875" style="152" customWidth="1"/>
    <col min="6146" max="6146" width="42.875" style="152" customWidth="1"/>
    <col min="6147" max="6147" width="16.625" style="152" customWidth="1"/>
    <col min="6148" max="6151" width="0" style="152" hidden="1" customWidth="1"/>
    <col min="6152" max="6152" width="0.25" style="152" customWidth="1"/>
    <col min="6153" max="6154" width="0" style="152" hidden="1" customWidth="1"/>
    <col min="6155" max="6155" width="11.375" style="152" customWidth="1"/>
    <col min="6156" max="6164" width="0" style="152" hidden="1" customWidth="1"/>
    <col min="6165" max="6165" width="14.75" style="152" bestFit="1" customWidth="1"/>
    <col min="6166" max="6400" width="9.125" style="152"/>
    <col min="6401" max="6401" width="5.875" style="152" customWidth="1"/>
    <col min="6402" max="6402" width="42.875" style="152" customWidth="1"/>
    <col min="6403" max="6403" width="16.625" style="152" customWidth="1"/>
    <col min="6404" max="6407" width="0" style="152" hidden="1" customWidth="1"/>
    <col min="6408" max="6408" width="0.25" style="152" customWidth="1"/>
    <col min="6409" max="6410" width="0" style="152" hidden="1" customWidth="1"/>
    <col min="6411" max="6411" width="11.375" style="152" customWidth="1"/>
    <col min="6412" max="6420" width="0" style="152" hidden="1" customWidth="1"/>
    <col min="6421" max="6421" width="14.75" style="152" bestFit="1" customWidth="1"/>
    <col min="6422" max="6656" width="9.125" style="152"/>
    <col min="6657" max="6657" width="5.875" style="152" customWidth="1"/>
    <col min="6658" max="6658" width="42.875" style="152" customWidth="1"/>
    <col min="6659" max="6659" width="16.625" style="152" customWidth="1"/>
    <col min="6660" max="6663" width="0" style="152" hidden="1" customWidth="1"/>
    <col min="6664" max="6664" width="0.25" style="152" customWidth="1"/>
    <col min="6665" max="6666" width="0" style="152" hidden="1" customWidth="1"/>
    <col min="6667" max="6667" width="11.375" style="152" customWidth="1"/>
    <col min="6668" max="6676" width="0" style="152" hidden="1" customWidth="1"/>
    <col min="6677" max="6677" width="14.75" style="152" bestFit="1" customWidth="1"/>
    <col min="6678" max="6912" width="9.125" style="152"/>
    <col min="6913" max="6913" width="5.875" style="152" customWidth="1"/>
    <col min="6914" max="6914" width="42.875" style="152" customWidth="1"/>
    <col min="6915" max="6915" width="16.625" style="152" customWidth="1"/>
    <col min="6916" max="6919" width="0" style="152" hidden="1" customWidth="1"/>
    <col min="6920" max="6920" width="0.25" style="152" customWidth="1"/>
    <col min="6921" max="6922" width="0" style="152" hidden="1" customWidth="1"/>
    <col min="6923" max="6923" width="11.375" style="152" customWidth="1"/>
    <col min="6924" max="6932" width="0" style="152" hidden="1" customWidth="1"/>
    <col min="6933" max="6933" width="14.75" style="152" bestFit="1" customWidth="1"/>
    <col min="6934" max="7168" width="9.125" style="152"/>
    <col min="7169" max="7169" width="5.875" style="152" customWidth="1"/>
    <col min="7170" max="7170" width="42.875" style="152" customWidth="1"/>
    <col min="7171" max="7171" width="16.625" style="152" customWidth="1"/>
    <col min="7172" max="7175" width="0" style="152" hidden="1" customWidth="1"/>
    <col min="7176" max="7176" width="0.25" style="152" customWidth="1"/>
    <col min="7177" max="7178" width="0" style="152" hidden="1" customWidth="1"/>
    <col min="7179" max="7179" width="11.375" style="152" customWidth="1"/>
    <col min="7180" max="7188" width="0" style="152" hidden="1" customWidth="1"/>
    <col min="7189" max="7189" width="14.75" style="152" bestFit="1" customWidth="1"/>
    <col min="7190" max="7424" width="9.125" style="152"/>
    <col min="7425" max="7425" width="5.875" style="152" customWidth="1"/>
    <col min="7426" max="7426" width="42.875" style="152" customWidth="1"/>
    <col min="7427" max="7427" width="16.625" style="152" customWidth="1"/>
    <col min="7428" max="7431" width="0" style="152" hidden="1" customWidth="1"/>
    <col min="7432" max="7432" width="0.25" style="152" customWidth="1"/>
    <col min="7433" max="7434" width="0" style="152" hidden="1" customWidth="1"/>
    <col min="7435" max="7435" width="11.375" style="152" customWidth="1"/>
    <col min="7436" max="7444" width="0" style="152" hidden="1" customWidth="1"/>
    <col min="7445" max="7445" width="14.75" style="152" bestFit="1" customWidth="1"/>
    <col min="7446" max="7680" width="9.125" style="152"/>
    <col min="7681" max="7681" width="5.875" style="152" customWidth="1"/>
    <col min="7682" max="7682" width="42.875" style="152" customWidth="1"/>
    <col min="7683" max="7683" width="16.625" style="152" customWidth="1"/>
    <col min="7684" max="7687" width="0" style="152" hidden="1" customWidth="1"/>
    <col min="7688" max="7688" width="0.25" style="152" customWidth="1"/>
    <col min="7689" max="7690" width="0" style="152" hidden="1" customWidth="1"/>
    <col min="7691" max="7691" width="11.375" style="152" customWidth="1"/>
    <col min="7692" max="7700" width="0" style="152" hidden="1" customWidth="1"/>
    <col min="7701" max="7701" width="14.75" style="152" bestFit="1" customWidth="1"/>
    <col min="7702" max="7936" width="9.125" style="152"/>
    <col min="7937" max="7937" width="5.875" style="152" customWidth="1"/>
    <col min="7938" max="7938" width="42.875" style="152" customWidth="1"/>
    <col min="7939" max="7939" width="16.625" style="152" customWidth="1"/>
    <col min="7940" max="7943" width="0" style="152" hidden="1" customWidth="1"/>
    <col min="7944" max="7944" width="0.25" style="152" customWidth="1"/>
    <col min="7945" max="7946" width="0" style="152" hidden="1" customWidth="1"/>
    <col min="7947" max="7947" width="11.375" style="152" customWidth="1"/>
    <col min="7948" max="7956" width="0" style="152" hidden="1" customWidth="1"/>
    <col min="7957" max="7957" width="14.75" style="152" bestFit="1" customWidth="1"/>
    <col min="7958" max="8192" width="9.125" style="152"/>
    <col min="8193" max="8193" width="5.875" style="152" customWidth="1"/>
    <col min="8194" max="8194" width="42.875" style="152" customWidth="1"/>
    <col min="8195" max="8195" width="16.625" style="152" customWidth="1"/>
    <col min="8196" max="8199" width="0" style="152" hidden="1" customWidth="1"/>
    <col min="8200" max="8200" width="0.25" style="152" customWidth="1"/>
    <col min="8201" max="8202" width="0" style="152" hidden="1" customWidth="1"/>
    <col min="8203" max="8203" width="11.375" style="152" customWidth="1"/>
    <col min="8204" max="8212" width="0" style="152" hidden="1" customWidth="1"/>
    <col min="8213" max="8213" width="14.75" style="152" bestFit="1" customWidth="1"/>
    <col min="8214" max="8448" width="9.125" style="152"/>
    <col min="8449" max="8449" width="5.875" style="152" customWidth="1"/>
    <col min="8450" max="8450" width="42.875" style="152" customWidth="1"/>
    <col min="8451" max="8451" width="16.625" style="152" customWidth="1"/>
    <col min="8452" max="8455" width="0" style="152" hidden="1" customWidth="1"/>
    <col min="8456" max="8456" width="0.25" style="152" customWidth="1"/>
    <col min="8457" max="8458" width="0" style="152" hidden="1" customWidth="1"/>
    <col min="8459" max="8459" width="11.375" style="152" customWidth="1"/>
    <col min="8460" max="8468" width="0" style="152" hidden="1" customWidth="1"/>
    <col min="8469" max="8469" width="14.75" style="152" bestFit="1" customWidth="1"/>
    <col min="8470" max="8704" width="9.125" style="152"/>
    <col min="8705" max="8705" width="5.875" style="152" customWidth="1"/>
    <col min="8706" max="8706" width="42.875" style="152" customWidth="1"/>
    <col min="8707" max="8707" width="16.625" style="152" customWidth="1"/>
    <col min="8708" max="8711" width="0" style="152" hidden="1" customWidth="1"/>
    <col min="8712" max="8712" width="0.25" style="152" customWidth="1"/>
    <col min="8713" max="8714" width="0" style="152" hidden="1" customWidth="1"/>
    <col min="8715" max="8715" width="11.375" style="152" customWidth="1"/>
    <col min="8716" max="8724" width="0" style="152" hidden="1" customWidth="1"/>
    <col min="8725" max="8725" width="14.75" style="152" bestFit="1" customWidth="1"/>
    <col min="8726" max="8960" width="9.125" style="152"/>
    <col min="8961" max="8961" width="5.875" style="152" customWidth="1"/>
    <col min="8962" max="8962" width="42.875" style="152" customWidth="1"/>
    <col min="8963" max="8963" width="16.625" style="152" customWidth="1"/>
    <col min="8964" max="8967" width="0" style="152" hidden="1" customWidth="1"/>
    <col min="8968" max="8968" width="0.25" style="152" customWidth="1"/>
    <col min="8969" max="8970" width="0" style="152" hidden="1" customWidth="1"/>
    <col min="8971" max="8971" width="11.375" style="152" customWidth="1"/>
    <col min="8972" max="8980" width="0" style="152" hidden="1" customWidth="1"/>
    <col min="8981" max="8981" width="14.75" style="152" bestFit="1" customWidth="1"/>
    <col min="8982" max="9216" width="9.125" style="152"/>
    <col min="9217" max="9217" width="5.875" style="152" customWidth="1"/>
    <col min="9218" max="9218" width="42.875" style="152" customWidth="1"/>
    <col min="9219" max="9219" width="16.625" style="152" customWidth="1"/>
    <col min="9220" max="9223" width="0" style="152" hidden="1" customWidth="1"/>
    <col min="9224" max="9224" width="0.25" style="152" customWidth="1"/>
    <col min="9225" max="9226" width="0" style="152" hidden="1" customWidth="1"/>
    <col min="9227" max="9227" width="11.375" style="152" customWidth="1"/>
    <col min="9228" max="9236" width="0" style="152" hidden="1" customWidth="1"/>
    <col min="9237" max="9237" width="14.75" style="152" bestFit="1" customWidth="1"/>
    <col min="9238" max="9472" width="9.125" style="152"/>
    <col min="9473" max="9473" width="5.875" style="152" customWidth="1"/>
    <col min="9474" max="9474" width="42.875" style="152" customWidth="1"/>
    <col min="9475" max="9475" width="16.625" style="152" customWidth="1"/>
    <col min="9476" max="9479" width="0" style="152" hidden="1" customWidth="1"/>
    <col min="9480" max="9480" width="0.25" style="152" customWidth="1"/>
    <col min="9481" max="9482" width="0" style="152" hidden="1" customWidth="1"/>
    <col min="9483" max="9483" width="11.375" style="152" customWidth="1"/>
    <col min="9484" max="9492" width="0" style="152" hidden="1" customWidth="1"/>
    <col min="9493" max="9493" width="14.75" style="152" bestFit="1" customWidth="1"/>
    <col min="9494" max="9728" width="9.125" style="152"/>
    <col min="9729" max="9729" width="5.875" style="152" customWidth="1"/>
    <col min="9730" max="9730" width="42.875" style="152" customWidth="1"/>
    <col min="9731" max="9731" width="16.625" style="152" customWidth="1"/>
    <col min="9732" max="9735" width="0" style="152" hidden="1" customWidth="1"/>
    <col min="9736" max="9736" width="0.25" style="152" customWidth="1"/>
    <col min="9737" max="9738" width="0" style="152" hidden="1" customWidth="1"/>
    <col min="9739" max="9739" width="11.375" style="152" customWidth="1"/>
    <col min="9740" max="9748" width="0" style="152" hidden="1" customWidth="1"/>
    <col min="9749" max="9749" width="14.75" style="152" bestFit="1" customWidth="1"/>
    <col min="9750" max="9984" width="9.125" style="152"/>
    <col min="9985" max="9985" width="5.875" style="152" customWidth="1"/>
    <col min="9986" max="9986" width="42.875" style="152" customWidth="1"/>
    <col min="9987" max="9987" width="16.625" style="152" customWidth="1"/>
    <col min="9988" max="9991" width="0" style="152" hidden="1" customWidth="1"/>
    <col min="9992" max="9992" width="0.25" style="152" customWidth="1"/>
    <col min="9993" max="9994" width="0" style="152" hidden="1" customWidth="1"/>
    <col min="9995" max="9995" width="11.375" style="152" customWidth="1"/>
    <col min="9996" max="10004" width="0" style="152" hidden="1" customWidth="1"/>
    <col min="10005" max="10005" width="14.75" style="152" bestFit="1" customWidth="1"/>
    <col min="10006" max="10240" width="9.125" style="152"/>
    <col min="10241" max="10241" width="5.875" style="152" customWidth="1"/>
    <col min="10242" max="10242" width="42.875" style="152" customWidth="1"/>
    <col min="10243" max="10243" width="16.625" style="152" customWidth="1"/>
    <col min="10244" max="10247" width="0" style="152" hidden="1" customWidth="1"/>
    <col min="10248" max="10248" width="0.25" style="152" customWidth="1"/>
    <col min="10249" max="10250" width="0" style="152" hidden="1" customWidth="1"/>
    <col min="10251" max="10251" width="11.375" style="152" customWidth="1"/>
    <col min="10252" max="10260" width="0" style="152" hidden="1" customWidth="1"/>
    <col min="10261" max="10261" width="14.75" style="152" bestFit="1" customWidth="1"/>
    <col min="10262" max="10496" width="9.125" style="152"/>
    <col min="10497" max="10497" width="5.875" style="152" customWidth="1"/>
    <col min="10498" max="10498" width="42.875" style="152" customWidth="1"/>
    <col min="10499" max="10499" width="16.625" style="152" customWidth="1"/>
    <col min="10500" max="10503" width="0" style="152" hidden="1" customWidth="1"/>
    <col min="10504" max="10504" width="0.25" style="152" customWidth="1"/>
    <col min="10505" max="10506" width="0" style="152" hidden="1" customWidth="1"/>
    <col min="10507" max="10507" width="11.375" style="152" customWidth="1"/>
    <col min="10508" max="10516" width="0" style="152" hidden="1" customWidth="1"/>
    <col min="10517" max="10517" width="14.75" style="152" bestFit="1" customWidth="1"/>
    <col min="10518" max="10752" width="9.125" style="152"/>
    <col min="10753" max="10753" width="5.875" style="152" customWidth="1"/>
    <col min="10754" max="10754" width="42.875" style="152" customWidth="1"/>
    <col min="10755" max="10755" width="16.625" style="152" customWidth="1"/>
    <col min="10756" max="10759" width="0" style="152" hidden="1" customWidth="1"/>
    <col min="10760" max="10760" width="0.25" style="152" customWidth="1"/>
    <col min="10761" max="10762" width="0" style="152" hidden="1" customWidth="1"/>
    <col min="10763" max="10763" width="11.375" style="152" customWidth="1"/>
    <col min="10764" max="10772" width="0" style="152" hidden="1" customWidth="1"/>
    <col min="10773" max="10773" width="14.75" style="152" bestFit="1" customWidth="1"/>
    <col min="10774" max="11008" width="9.125" style="152"/>
    <col min="11009" max="11009" width="5.875" style="152" customWidth="1"/>
    <col min="11010" max="11010" width="42.875" style="152" customWidth="1"/>
    <col min="11011" max="11011" width="16.625" style="152" customWidth="1"/>
    <col min="11012" max="11015" width="0" style="152" hidden="1" customWidth="1"/>
    <col min="11016" max="11016" width="0.25" style="152" customWidth="1"/>
    <col min="11017" max="11018" width="0" style="152" hidden="1" customWidth="1"/>
    <col min="11019" max="11019" width="11.375" style="152" customWidth="1"/>
    <col min="11020" max="11028" width="0" style="152" hidden="1" customWidth="1"/>
    <col min="11029" max="11029" width="14.75" style="152" bestFit="1" customWidth="1"/>
    <col min="11030" max="11264" width="9.125" style="152"/>
    <col min="11265" max="11265" width="5.875" style="152" customWidth="1"/>
    <col min="11266" max="11266" width="42.875" style="152" customWidth="1"/>
    <col min="11267" max="11267" width="16.625" style="152" customWidth="1"/>
    <col min="11268" max="11271" width="0" style="152" hidden="1" customWidth="1"/>
    <col min="11272" max="11272" width="0.25" style="152" customWidth="1"/>
    <col min="11273" max="11274" width="0" style="152" hidden="1" customWidth="1"/>
    <col min="11275" max="11275" width="11.375" style="152" customWidth="1"/>
    <col min="11276" max="11284" width="0" style="152" hidden="1" customWidth="1"/>
    <col min="11285" max="11285" width="14.75" style="152" bestFit="1" customWidth="1"/>
    <col min="11286" max="11520" width="9.125" style="152"/>
    <col min="11521" max="11521" width="5.875" style="152" customWidth="1"/>
    <col min="11522" max="11522" width="42.875" style="152" customWidth="1"/>
    <col min="11523" max="11523" width="16.625" style="152" customWidth="1"/>
    <col min="11524" max="11527" width="0" style="152" hidden="1" customWidth="1"/>
    <col min="11528" max="11528" width="0.25" style="152" customWidth="1"/>
    <col min="11529" max="11530" width="0" style="152" hidden="1" customWidth="1"/>
    <col min="11531" max="11531" width="11.375" style="152" customWidth="1"/>
    <col min="11532" max="11540" width="0" style="152" hidden="1" customWidth="1"/>
    <col min="11541" max="11541" width="14.75" style="152" bestFit="1" customWidth="1"/>
    <col min="11542" max="11776" width="9.125" style="152"/>
    <col min="11777" max="11777" width="5.875" style="152" customWidth="1"/>
    <col min="11778" max="11778" width="42.875" style="152" customWidth="1"/>
    <col min="11779" max="11779" width="16.625" style="152" customWidth="1"/>
    <col min="11780" max="11783" width="0" style="152" hidden="1" customWidth="1"/>
    <col min="11784" max="11784" width="0.25" style="152" customWidth="1"/>
    <col min="11785" max="11786" width="0" style="152" hidden="1" customWidth="1"/>
    <col min="11787" max="11787" width="11.375" style="152" customWidth="1"/>
    <col min="11788" max="11796" width="0" style="152" hidden="1" customWidth="1"/>
    <col min="11797" max="11797" width="14.75" style="152" bestFit="1" customWidth="1"/>
    <col min="11798" max="12032" width="9.125" style="152"/>
    <col min="12033" max="12033" width="5.875" style="152" customWidth="1"/>
    <col min="12034" max="12034" width="42.875" style="152" customWidth="1"/>
    <col min="12035" max="12035" width="16.625" style="152" customWidth="1"/>
    <col min="12036" max="12039" width="0" style="152" hidden="1" customWidth="1"/>
    <col min="12040" max="12040" width="0.25" style="152" customWidth="1"/>
    <col min="12041" max="12042" width="0" style="152" hidden="1" customWidth="1"/>
    <col min="12043" max="12043" width="11.375" style="152" customWidth="1"/>
    <col min="12044" max="12052" width="0" style="152" hidden="1" customWidth="1"/>
    <col min="12053" max="12053" width="14.75" style="152" bestFit="1" customWidth="1"/>
    <col min="12054" max="12288" width="9.125" style="152"/>
    <col min="12289" max="12289" width="5.875" style="152" customWidth="1"/>
    <col min="12290" max="12290" width="42.875" style="152" customWidth="1"/>
    <col min="12291" max="12291" width="16.625" style="152" customWidth="1"/>
    <col min="12292" max="12295" width="0" style="152" hidden="1" customWidth="1"/>
    <col min="12296" max="12296" width="0.25" style="152" customWidth="1"/>
    <col min="12297" max="12298" width="0" style="152" hidden="1" customWidth="1"/>
    <col min="12299" max="12299" width="11.375" style="152" customWidth="1"/>
    <col min="12300" max="12308" width="0" style="152" hidden="1" customWidth="1"/>
    <col min="12309" max="12309" width="14.75" style="152" bestFit="1" customWidth="1"/>
    <col min="12310" max="12544" width="9.125" style="152"/>
    <col min="12545" max="12545" width="5.875" style="152" customWidth="1"/>
    <col min="12546" max="12546" width="42.875" style="152" customWidth="1"/>
    <col min="12547" max="12547" width="16.625" style="152" customWidth="1"/>
    <col min="12548" max="12551" width="0" style="152" hidden="1" customWidth="1"/>
    <col min="12552" max="12552" width="0.25" style="152" customWidth="1"/>
    <col min="12553" max="12554" width="0" style="152" hidden="1" customWidth="1"/>
    <col min="12555" max="12555" width="11.375" style="152" customWidth="1"/>
    <col min="12556" max="12564" width="0" style="152" hidden="1" customWidth="1"/>
    <col min="12565" max="12565" width="14.75" style="152" bestFit="1" customWidth="1"/>
    <col min="12566" max="12800" width="9.125" style="152"/>
    <col min="12801" max="12801" width="5.875" style="152" customWidth="1"/>
    <col min="12802" max="12802" width="42.875" style="152" customWidth="1"/>
    <col min="12803" max="12803" width="16.625" style="152" customWidth="1"/>
    <col min="12804" max="12807" width="0" style="152" hidden="1" customWidth="1"/>
    <col min="12808" max="12808" width="0.25" style="152" customWidth="1"/>
    <col min="12809" max="12810" width="0" style="152" hidden="1" customWidth="1"/>
    <col min="12811" max="12811" width="11.375" style="152" customWidth="1"/>
    <col min="12812" max="12820" width="0" style="152" hidden="1" customWidth="1"/>
    <col min="12821" max="12821" width="14.75" style="152" bestFit="1" customWidth="1"/>
    <col min="12822" max="13056" width="9.125" style="152"/>
    <col min="13057" max="13057" width="5.875" style="152" customWidth="1"/>
    <col min="13058" max="13058" width="42.875" style="152" customWidth="1"/>
    <col min="13059" max="13059" width="16.625" style="152" customWidth="1"/>
    <col min="13060" max="13063" width="0" style="152" hidden="1" customWidth="1"/>
    <col min="13064" max="13064" width="0.25" style="152" customWidth="1"/>
    <col min="13065" max="13066" width="0" style="152" hidden="1" customWidth="1"/>
    <col min="13067" max="13067" width="11.375" style="152" customWidth="1"/>
    <col min="13068" max="13076" width="0" style="152" hidden="1" customWidth="1"/>
    <col min="13077" max="13077" width="14.75" style="152" bestFit="1" customWidth="1"/>
    <col min="13078" max="13312" width="9.125" style="152"/>
    <col min="13313" max="13313" width="5.875" style="152" customWidth="1"/>
    <col min="13314" max="13314" width="42.875" style="152" customWidth="1"/>
    <col min="13315" max="13315" width="16.625" style="152" customWidth="1"/>
    <col min="13316" max="13319" width="0" style="152" hidden="1" customWidth="1"/>
    <col min="13320" max="13320" width="0.25" style="152" customWidth="1"/>
    <col min="13321" max="13322" width="0" style="152" hidden="1" customWidth="1"/>
    <col min="13323" max="13323" width="11.375" style="152" customWidth="1"/>
    <col min="13324" max="13332" width="0" style="152" hidden="1" customWidth="1"/>
    <col min="13333" max="13333" width="14.75" style="152" bestFit="1" customWidth="1"/>
    <col min="13334" max="13568" width="9.125" style="152"/>
    <col min="13569" max="13569" width="5.875" style="152" customWidth="1"/>
    <col min="13570" max="13570" width="42.875" style="152" customWidth="1"/>
    <col min="13571" max="13571" width="16.625" style="152" customWidth="1"/>
    <col min="13572" max="13575" width="0" style="152" hidden="1" customWidth="1"/>
    <col min="13576" max="13576" width="0.25" style="152" customWidth="1"/>
    <col min="13577" max="13578" width="0" style="152" hidden="1" customWidth="1"/>
    <col min="13579" max="13579" width="11.375" style="152" customWidth="1"/>
    <col min="13580" max="13588" width="0" style="152" hidden="1" customWidth="1"/>
    <col min="13589" max="13589" width="14.75" style="152" bestFit="1" customWidth="1"/>
    <col min="13590" max="13824" width="9.125" style="152"/>
    <col min="13825" max="13825" width="5.875" style="152" customWidth="1"/>
    <col min="13826" max="13826" width="42.875" style="152" customWidth="1"/>
    <col min="13827" max="13827" width="16.625" style="152" customWidth="1"/>
    <col min="13828" max="13831" width="0" style="152" hidden="1" customWidth="1"/>
    <col min="13832" max="13832" width="0.25" style="152" customWidth="1"/>
    <col min="13833" max="13834" width="0" style="152" hidden="1" customWidth="1"/>
    <col min="13835" max="13835" width="11.375" style="152" customWidth="1"/>
    <col min="13836" max="13844" width="0" style="152" hidden="1" customWidth="1"/>
    <col min="13845" max="13845" width="14.75" style="152" bestFit="1" customWidth="1"/>
    <col min="13846" max="14080" width="9.125" style="152"/>
    <col min="14081" max="14081" width="5.875" style="152" customWidth="1"/>
    <col min="14082" max="14082" width="42.875" style="152" customWidth="1"/>
    <col min="14083" max="14083" width="16.625" style="152" customWidth="1"/>
    <col min="14084" max="14087" width="0" style="152" hidden="1" customWidth="1"/>
    <col min="14088" max="14088" width="0.25" style="152" customWidth="1"/>
    <col min="14089" max="14090" width="0" style="152" hidden="1" customWidth="1"/>
    <col min="14091" max="14091" width="11.375" style="152" customWidth="1"/>
    <col min="14092" max="14100" width="0" style="152" hidden="1" customWidth="1"/>
    <col min="14101" max="14101" width="14.75" style="152" bestFit="1" customWidth="1"/>
    <col min="14102" max="14336" width="9.125" style="152"/>
    <col min="14337" max="14337" width="5.875" style="152" customWidth="1"/>
    <col min="14338" max="14338" width="42.875" style="152" customWidth="1"/>
    <col min="14339" max="14339" width="16.625" style="152" customWidth="1"/>
    <col min="14340" max="14343" width="0" style="152" hidden="1" customWidth="1"/>
    <col min="14344" max="14344" width="0.25" style="152" customWidth="1"/>
    <col min="14345" max="14346" width="0" style="152" hidden="1" customWidth="1"/>
    <col min="14347" max="14347" width="11.375" style="152" customWidth="1"/>
    <col min="14348" max="14356" width="0" style="152" hidden="1" customWidth="1"/>
    <col min="14357" max="14357" width="14.75" style="152" bestFit="1" customWidth="1"/>
    <col min="14358" max="14592" width="9.125" style="152"/>
    <col min="14593" max="14593" width="5.875" style="152" customWidth="1"/>
    <col min="14594" max="14594" width="42.875" style="152" customWidth="1"/>
    <col min="14595" max="14595" width="16.625" style="152" customWidth="1"/>
    <col min="14596" max="14599" width="0" style="152" hidden="1" customWidth="1"/>
    <col min="14600" max="14600" width="0.25" style="152" customWidth="1"/>
    <col min="14601" max="14602" width="0" style="152" hidden="1" customWidth="1"/>
    <col min="14603" max="14603" width="11.375" style="152" customWidth="1"/>
    <col min="14604" max="14612" width="0" style="152" hidden="1" customWidth="1"/>
    <col min="14613" max="14613" width="14.75" style="152" bestFit="1" customWidth="1"/>
    <col min="14614" max="14848" width="9.125" style="152"/>
    <col min="14849" max="14849" width="5.875" style="152" customWidth="1"/>
    <col min="14850" max="14850" width="42.875" style="152" customWidth="1"/>
    <col min="14851" max="14851" width="16.625" style="152" customWidth="1"/>
    <col min="14852" max="14855" width="0" style="152" hidden="1" customWidth="1"/>
    <col min="14856" max="14856" width="0.25" style="152" customWidth="1"/>
    <col min="14857" max="14858" width="0" style="152" hidden="1" customWidth="1"/>
    <col min="14859" max="14859" width="11.375" style="152" customWidth="1"/>
    <col min="14860" max="14868" width="0" style="152" hidden="1" customWidth="1"/>
    <col min="14869" max="14869" width="14.75" style="152" bestFit="1" customWidth="1"/>
    <col min="14870" max="15104" width="9.125" style="152"/>
    <col min="15105" max="15105" width="5.875" style="152" customWidth="1"/>
    <col min="15106" max="15106" width="42.875" style="152" customWidth="1"/>
    <col min="15107" max="15107" width="16.625" style="152" customWidth="1"/>
    <col min="15108" max="15111" width="0" style="152" hidden="1" customWidth="1"/>
    <col min="15112" max="15112" width="0.25" style="152" customWidth="1"/>
    <col min="15113" max="15114" width="0" style="152" hidden="1" customWidth="1"/>
    <col min="15115" max="15115" width="11.375" style="152" customWidth="1"/>
    <col min="15116" max="15124" width="0" style="152" hidden="1" customWidth="1"/>
    <col min="15125" max="15125" width="14.75" style="152" bestFit="1" customWidth="1"/>
    <col min="15126" max="15360" width="9.125" style="152"/>
    <col min="15361" max="15361" width="5.875" style="152" customWidth="1"/>
    <col min="15362" max="15362" width="42.875" style="152" customWidth="1"/>
    <col min="15363" max="15363" width="16.625" style="152" customWidth="1"/>
    <col min="15364" max="15367" width="0" style="152" hidden="1" customWidth="1"/>
    <col min="15368" max="15368" width="0.25" style="152" customWidth="1"/>
    <col min="15369" max="15370" width="0" style="152" hidden="1" customWidth="1"/>
    <col min="15371" max="15371" width="11.375" style="152" customWidth="1"/>
    <col min="15372" max="15380" width="0" style="152" hidden="1" customWidth="1"/>
    <col min="15381" max="15381" width="14.75" style="152" bestFit="1" customWidth="1"/>
    <col min="15382" max="15616" width="9.125" style="152"/>
    <col min="15617" max="15617" width="5.875" style="152" customWidth="1"/>
    <col min="15618" max="15618" width="42.875" style="152" customWidth="1"/>
    <col min="15619" max="15619" width="16.625" style="152" customWidth="1"/>
    <col min="15620" max="15623" width="0" style="152" hidden="1" customWidth="1"/>
    <col min="15624" max="15624" width="0.25" style="152" customWidth="1"/>
    <col min="15625" max="15626" width="0" style="152" hidden="1" customWidth="1"/>
    <col min="15627" max="15627" width="11.375" style="152" customWidth="1"/>
    <col min="15628" max="15636" width="0" style="152" hidden="1" customWidth="1"/>
    <col min="15637" max="15637" width="14.75" style="152" bestFit="1" customWidth="1"/>
    <col min="15638" max="15872" width="9.125" style="152"/>
    <col min="15873" max="15873" width="5.875" style="152" customWidth="1"/>
    <col min="15874" max="15874" width="42.875" style="152" customWidth="1"/>
    <col min="15875" max="15875" width="16.625" style="152" customWidth="1"/>
    <col min="15876" max="15879" width="0" style="152" hidden="1" customWidth="1"/>
    <col min="15880" max="15880" width="0.25" style="152" customWidth="1"/>
    <col min="15881" max="15882" width="0" style="152" hidden="1" customWidth="1"/>
    <col min="15883" max="15883" width="11.375" style="152" customWidth="1"/>
    <col min="15884" max="15892" width="0" style="152" hidden="1" customWidth="1"/>
    <col min="15893" max="15893" width="14.75" style="152" bestFit="1" customWidth="1"/>
    <col min="15894" max="16128" width="9.125" style="152"/>
    <col min="16129" max="16129" width="5.875" style="152" customWidth="1"/>
    <col min="16130" max="16130" width="42.875" style="152" customWidth="1"/>
    <col min="16131" max="16131" width="16.625" style="152" customWidth="1"/>
    <col min="16132" max="16135" width="0" style="152" hidden="1" customWidth="1"/>
    <col min="16136" max="16136" width="0.25" style="152" customWidth="1"/>
    <col min="16137" max="16138" width="0" style="152" hidden="1" customWidth="1"/>
    <col min="16139" max="16139" width="11.375" style="152" customWidth="1"/>
    <col min="16140" max="16148" width="0" style="152" hidden="1" customWidth="1"/>
    <col min="16149" max="16149" width="14.75" style="152" bestFit="1" customWidth="1"/>
    <col min="16150" max="16384" width="9.125" style="152"/>
  </cols>
  <sheetData>
    <row r="1" spans="1:23" ht="23.45" customHeight="1">
      <c r="A1" s="212" t="s">
        <v>74</v>
      </c>
      <c r="D1" s="140"/>
      <c r="E1" s="140"/>
      <c r="F1" s="140"/>
      <c r="G1" s="140"/>
      <c r="H1" s="140"/>
      <c r="I1" s="140"/>
      <c r="J1" s="140"/>
      <c r="N1" s="152" t="s">
        <v>267</v>
      </c>
    </row>
    <row r="2" spans="1:23" ht="23.45" customHeight="1">
      <c r="A2" s="212" t="s">
        <v>75</v>
      </c>
      <c r="D2" s="140"/>
      <c r="E2" s="140"/>
      <c r="F2" s="140"/>
      <c r="G2" s="140"/>
      <c r="H2" s="140"/>
      <c r="I2" s="140"/>
      <c r="J2" s="140"/>
    </row>
    <row r="3" spans="1:23" ht="30.6" customHeight="1">
      <c r="A3" s="509" t="s">
        <v>268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</row>
    <row r="4" spans="1:23" ht="16.5" customHeight="1">
      <c r="A4" s="510" t="s">
        <v>76</v>
      </c>
      <c r="B4" s="510" t="s">
        <v>77</v>
      </c>
      <c r="C4" s="510" t="s">
        <v>78</v>
      </c>
      <c r="D4" s="510" t="s">
        <v>79</v>
      </c>
      <c r="E4" s="511" t="s">
        <v>80</v>
      </c>
      <c r="F4" s="511"/>
      <c r="G4" s="511"/>
      <c r="H4" s="511"/>
      <c r="I4" s="510" t="s">
        <v>81</v>
      </c>
      <c r="J4" s="512" t="s">
        <v>346</v>
      </c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4"/>
    </row>
    <row r="5" spans="1:23" ht="115.5">
      <c r="A5" s="510"/>
      <c r="B5" s="510"/>
      <c r="C5" s="510"/>
      <c r="D5" s="510"/>
      <c r="E5" s="215" t="s">
        <v>83</v>
      </c>
      <c r="F5" s="215" t="s">
        <v>84</v>
      </c>
      <c r="G5" s="215" t="s">
        <v>85</v>
      </c>
      <c r="H5" s="215" t="s">
        <v>86</v>
      </c>
      <c r="I5" s="510"/>
      <c r="J5" s="215" t="s">
        <v>70</v>
      </c>
      <c r="K5" s="215" t="s">
        <v>87</v>
      </c>
      <c r="L5" s="215" t="s">
        <v>331</v>
      </c>
      <c r="M5" s="215" t="s">
        <v>332</v>
      </c>
      <c r="N5" s="215" t="s">
        <v>333</v>
      </c>
      <c r="O5" s="215" t="s">
        <v>334</v>
      </c>
      <c r="P5" s="215" t="s">
        <v>335</v>
      </c>
      <c r="Q5" s="215" t="s">
        <v>336</v>
      </c>
      <c r="R5" s="215" t="s">
        <v>337</v>
      </c>
      <c r="S5" s="215" t="s">
        <v>338</v>
      </c>
      <c r="T5" s="215" t="s">
        <v>339</v>
      </c>
      <c r="U5" s="215" t="s">
        <v>313</v>
      </c>
      <c r="V5" s="359" t="s">
        <v>187</v>
      </c>
    </row>
    <row r="6" spans="1:23" ht="16.5">
      <c r="A6" s="360" t="s">
        <v>89</v>
      </c>
      <c r="B6" s="361" t="s">
        <v>269</v>
      </c>
      <c r="C6" s="362"/>
      <c r="D6" s="363"/>
      <c r="E6" s="364"/>
      <c r="F6" s="365"/>
      <c r="G6" s="365"/>
      <c r="H6" s="365"/>
      <c r="I6" s="365"/>
      <c r="J6" s="365"/>
      <c r="K6" s="365"/>
      <c r="L6" s="366"/>
      <c r="M6" s="366"/>
      <c r="N6" s="366"/>
      <c r="O6" s="366"/>
      <c r="P6" s="366"/>
      <c r="Q6" s="366"/>
      <c r="R6" s="366"/>
      <c r="S6" s="366"/>
      <c r="T6" s="366"/>
      <c r="U6" s="369"/>
      <c r="V6" s="366"/>
    </row>
    <row r="7" spans="1:23" ht="18.75" customHeight="1">
      <c r="A7" s="367">
        <v>1</v>
      </c>
      <c r="B7" s="368" t="s">
        <v>270</v>
      </c>
      <c r="C7" s="367" t="s">
        <v>271</v>
      </c>
      <c r="D7" s="369">
        <f>D9*0.1%*100</f>
        <v>1.87</v>
      </c>
      <c r="E7" s="369">
        <f t="shared" ref="E7:N7" si="0">E9*0.1%*100</f>
        <v>1.92</v>
      </c>
      <c r="F7" s="369">
        <f t="shared" si="0"/>
        <v>1.86</v>
      </c>
      <c r="G7" s="369">
        <f>G9*0.1%*100</f>
        <v>1.6</v>
      </c>
      <c r="H7" s="369">
        <f t="shared" si="0"/>
        <v>1.6</v>
      </c>
      <c r="I7" s="369">
        <f t="shared" si="0"/>
        <v>1.9</v>
      </c>
      <c r="J7" s="369">
        <f t="shared" si="0"/>
        <v>2.4</v>
      </c>
      <c r="K7" s="429">
        <f t="shared" si="0"/>
        <v>4.8</v>
      </c>
      <c r="L7" s="429">
        <f t="shared" si="0"/>
        <v>8</v>
      </c>
      <c r="M7" s="429">
        <f t="shared" si="0"/>
        <v>11</v>
      </c>
      <c r="N7" s="429">
        <f t="shared" si="0"/>
        <v>12</v>
      </c>
      <c r="O7" s="430"/>
      <c r="P7" s="430"/>
      <c r="Q7" s="430"/>
      <c r="R7" s="430"/>
      <c r="S7" s="430"/>
      <c r="T7" s="430"/>
      <c r="U7" s="429">
        <f>U9*0.1%*100</f>
        <v>4.8</v>
      </c>
      <c r="V7" s="429">
        <f>V9*0.1%*100</f>
        <v>4.8</v>
      </c>
    </row>
    <row r="8" spans="1:23" ht="18.75" customHeight="1">
      <c r="A8" s="367"/>
      <c r="B8" s="368" t="s">
        <v>272</v>
      </c>
      <c r="C8" s="367" t="s">
        <v>271</v>
      </c>
      <c r="D8" s="369">
        <f>D9*2%</f>
        <v>0.374</v>
      </c>
      <c r="E8" s="369">
        <f t="shared" ref="E8:N8" si="1">E9*2%</f>
        <v>0.38400000000000001</v>
      </c>
      <c r="F8" s="369">
        <f t="shared" si="1"/>
        <v>0.37200000000000005</v>
      </c>
      <c r="G8" s="369">
        <f t="shared" si="1"/>
        <v>0.32</v>
      </c>
      <c r="H8" s="369">
        <f t="shared" si="1"/>
        <v>0.32</v>
      </c>
      <c r="I8" s="369">
        <f t="shared" si="1"/>
        <v>0.38</v>
      </c>
      <c r="J8" s="369">
        <f t="shared" si="1"/>
        <v>0.48</v>
      </c>
      <c r="K8" s="429">
        <f t="shared" si="1"/>
        <v>0.96</v>
      </c>
      <c r="L8" s="429">
        <f t="shared" si="1"/>
        <v>1.6</v>
      </c>
      <c r="M8" s="429">
        <f t="shared" si="1"/>
        <v>2.2000000000000002</v>
      </c>
      <c r="N8" s="429">
        <f t="shared" si="1"/>
        <v>2.4</v>
      </c>
      <c r="O8" s="430"/>
      <c r="P8" s="430"/>
      <c r="Q8" s="430"/>
      <c r="R8" s="430"/>
      <c r="S8" s="430"/>
      <c r="T8" s="430"/>
      <c r="U8" s="429">
        <f>U9*2%</f>
        <v>0.96</v>
      </c>
      <c r="V8" s="429">
        <f>V9*2%</f>
        <v>0.96</v>
      </c>
    </row>
    <row r="9" spans="1:23" ht="18.75" customHeight="1">
      <c r="A9" s="367"/>
      <c r="B9" s="368" t="s">
        <v>273</v>
      </c>
      <c r="C9" s="367" t="s">
        <v>271</v>
      </c>
      <c r="D9" s="371">
        <v>18.7</v>
      </c>
      <c r="E9" s="372">
        <v>19.2</v>
      </c>
      <c r="F9" s="372">
        <v>18.600000000000001</v>
      </c>
      <c r="G9" s="372">
        <v>16</v>
      </c>
      <c r="H9" s="372">
        <v>16</v>
      </c>
      <c r="I9" s="372">
        <v>19</v>
      </c>
      <c r="J9" s="372">
        <v>24</v>
      </c>
      <c r="K9" s="431">
        <v>48</v>
      </c>
      <c r="L9" s="431">
        <v>80</v>
      </c>
      <c r="M9" s="431">
        <v>110</v>
      </c>
      <c r="N9" s="431">
        <v>120</v>
      </c>
      <c r="O9" s="430"/>
      <c r="P9" s="430"/>
      <c r="Q9" s="430"/>
      <c r="R9" s="430"/>
      <c r="S9" s="430"/>
      <c r="T9" s="430"/>
      <c r="U9" s="431">
        <v>48</v>
      </c>
      <c r="V9" s="431">
        <v>48</v>
      </c>
    </row>
    <row r="10" spans="1:23" s="212" customFormat="1" ht="36" customHeight="1">
      <c r="A10" s="373">
        <v>2</v>
      </c>
      <c r="B10" s="374" t="s">
        <v>274</v>
      </c>
      <c r="C10" s="373" t="s">
        <v>130</v>
      </c>
      <c r="D10" s="375">
        <v>2239.9999999999995</v>
      </c>
      <c r="E10" s="375">
        <v>2304</v>
      </c>
      <c r="F10" s="375">
        <v>2239.9999999999995</v>
      </c>
      <c r="G10" s="375">
        <v>2000</v>
      </c>
      <c r="H10" s="375">
        <v>2400.0000000000005</v>
      </c>
      <c r="I10" s="375">
        <v>2463</v>
      </c>
      <c r="J10" s="375">
        <v>1850</v>
      </c>
      <c r="K10" s="375">
        <v>4500</v>
      </c>
      <c r="L10" s="375">
        <v>14000</v>
      </c>
      <c r="M10" s="375">
        <v>18000</v>
      </c>
      <c r="N10" s="375">
        <v>20000</v>
      </c>
      <c r="O10" s="376"/>
      <c r="P10" s="377">
        <f ca="1">I10-P11</f>
        <v>-661877</v>
      </c>
      <c r="Q10" s="376"/>
      <c r="R10" s="376"/>
      <c r="S10" s="376"/>
      <c r="T10" s="376"/>
      <c r="U10" s="377">
        <v>3500</v>
      </c>
      <c r="V10" s="377">
        <v>3500</v>
      </c>
    </row>
    <row r="11" spans="1:23" s="212" customFormat="1" ht="57" customHeight="1">
      <c r="A11" s="373"/>
      <c r="B11" s="374" t="s">
        <v>275</v>
      </c>
      <c r="C11" s="373" t="s">
        <v>130</v>
      </c>
      <c r="D11" s="375" t="e">
        <f t="shared" ref="D11:U11" si="2">D12+D10+D28+D42</f>
        <v>#REF!</v>
      </c>
      <c r="E11" s="375" t="e">
        <f t="shared" si="2"/>
        <v>#REF!</v>
      </c>
      <c r="F11" s="375" t="e">
        <f t="shared" si="2"/>
        <v>#REF!</v>
      </c>
      <c r="G11" s="375" t="e">
        <f t="shared" si="2"/>
        <v>#REF!</v>
      </c>
      <c r="H11" s="375" t="e">
        <f t="shared" si="2"/>
        <v>#REF!</v>
      </c>
      <c r="I11" s="375">
        <f>I12+I10+I28+I42</f>
        <v>664340</v>
      </c>
      <c r="J11" s="375">
        <f t="shared" si="2"/>
        <v>728430</v>
      </c>
      <c r="K11" s="375">
        <f t="shared" si="2"/>
        <v>829493.1798006529</v>
      </c>
      <c r="L11" s="375">
        <f t="shared" si="2"/>
        <v>497406.92802869203</v>
      </c>
      <c r="M11" s="375">
        <f t="shared" si="2"/>
        <v>526461.40902241354</v>
      </c>
      <c r="N11" s="375">
        <f t="shared" si="2"/>
        <v>564219.95646635839</v>
      </c>
      <c r="O11" s="375">
        <f t="shared" si="2"/>
        <v>0</v>
      </c>
      <c r="P11" s="375">
        <f t="shared" ca="1" si="2"/>
        <v>829645.00600000005</v>
      </c>
      <c r="Q11" s="375">
        <f t="shared" si="2"/>
        <v>323244.36939719669</v>
      </c>
      <c r="R11" s="375">
        <f t="shared" si="2"/>
        <v>36.379610944085222</v>
      </c>
      <c r="S11" s="375">
        <f t="shared" si="2"/>
        <v>0</v>
      </c>
      <c r="T11" s="375">
        <f t="shared" si="2"/>
        <v>0</v>
      </c>
      <c r="U11" s="375">
        <f t="shared" si="2"/>
        <v>846951.57000000007</v>
      </c>
      <c r="V11" s="375">
        <f>V12+V10+V28+V42</f>
        <v>940445.16149999993</v>
      </c>
    </row>
    <row r="12" spans="1:23" ht="17.25" customHeight="1">
      <c r="A12" s="373" t="s">
        <v>202</v>
      </c>
      <c r="B12" s="374" t="s">
        <v>276</v>
      </c>
      <c r="C12" s="378"/>
      <c r="D12" s="379" t="e">
        <f>D14+D16+#REF!+D24+D25</f>
        <v>#REF!</v>
      </c>
      <c r="E12" s="379" t="e">
        <f>E14+E16+#REF!+E24+E25</f>
        <v>#REF!</v>
      </c>
      <c r="F12" s="379" t="e">
        <f>F14+F16+#REF!+F24+F25</f>
        <v>#REF!</v>
      </c>
      <c r="G12" s="379" t="e">
        <f>G14+G16+#REF!+G24+G25</f>
        <v>#REF!</v>
      </c>
      <c r="H12" s="379" t="e">
        <f>H14+H16+#REF!+H24+H25</f>
        <v>#REF!</v>
      </c>
      <c r="I12" s="380">
        <f>I14+I16+I18+I20+I22+I24+I25</f>
        <v>574222</v>
      </c>
      <c r="J12" s="380">
        <f>J14+J16+J18+J20+J22+J24+J25</f>
        <v>623205</v>
      </c>
      <c r="K12" s="380">
        <f>K14+K16+K18+K20+K22+K24+K25</f>
        <v>711386.25600000005</v>
      </c>
      <c r="L12" s="380">
        <f t="shared" ref="L12:U12" si="3">L14+L16+L18+L20+L22+L24+L25</f>
        <v>363285.56880000001</v>
      </c>
      <c r="M12" s="380">
        <f t="shared" si="3"/>
        <v>381449.84723999997</v>
      </c>
      <c r="N12" s="380">
        <f t="shared" si="3"/>
        <v>409920.63392699999</v>
      </c>
      <c r="O12" s="380">
        <f t="shared" si="3"/>
        <v>0</v>
      </c>
      <c r="P12" s="380">
        <f t="shared" si="3"/>
        <v>355538.4</v>
      </c>
      <c r="Q12" s="380">
        <f t="shared" si="3"/>
        <v>323244.36939719669</v>
      </c>
      <c r="R12" s="380">
        <f t="shared" si="3"/>
        <v>36.379610944085222</v>
      </c>
      <c r="S12" s="380">
        <f t="shared" si="3"/>
        <v>0</v>
      </c>
      <c r="T12" s="380">
        <f t="shared" si="3"/>
        <v>0</v>
      </c>
      <c r="U12" s="380">
        <f t="shared" si="3"/>
        <v>723731.57000000007</v>
      </c>
      <c r="V12" s="380">
        <f>V14+V16+V18+V20+V22+V24+V25</f>
        <v>799445.16149999993</v>
      </c>
    </row>
    <row r="13" spans="1:23" ht="28.5" customHeight="1">
      <c r="A13" s="367"/>
      <c r="B13" s="368" t="s">
        <v>277</v>
      </c>
      <c r="C13" s="367" t="s">
        <v>130</v>
      </c>
      <c r="D13" s="381">
        <v>256139</v>
      </c>
      <c r="E13" s="382">
        <v>279261</v>
      </c>
      <c r="F13" s="382">
        <v>290289</v>
      </c>
      <c r="G13" s="382">
        <v>339189</v>
      </c>
      <c r="H13" s="383">
        <v>369716.01</v>
      </c>
      <c r="I13" s="384">
        <v>950639</v>
      </c>
      <c r="J13" s="384">
        <v>972504</v>
      </c>
      <c r="K13" s="384">
        <v>1011404</v>
      </c>
      <c r="L13" s="383">
        <v>521884.32063857623</v>
      </c>
      <c r="M13" s="383">
        <v>568853.90949604812</v>
      </c>
      <c r="N13" s="383">
        <v>620050.76135069248</v>
      </c>
      <c r="O13" s="384">
        <f>J13*104%</f>
        <v>1011404.16</v>
      </c>
      <c r="P13" s="384">
        <f>I13*112%</f>
        <v>1064715.6800000002</v>
      </c>
      <c r="Q13" s="384">
        <f>I13*102.3%</f>
        <v>972503.69699999993</v>
      </c>
      <c r="R13" s="370"/>
      <c r="S13" s="370"/>
      <c r="T13" s="370"/>
      <c r="U13" s="384">
        <v>1320000</v>
      </c>
      <c r="V13" s="384">
        <v>1320000</v>
      </c>
    </row>
    <row r="14" spans="1:23" ht="16.5" customHeight="1">
      <c r="A14" s="367">
        <v>1</v>
      </c>
      <c r="B14" s="368" t="s">
        <v>278</v>
      </c>
      <c r="C14" s="367" t="s">
        <v>130</v>
      </c>
      <c r="D14" s="381">
        <v>22223</v>
      </c>
      <c r="E14" s="382">
        <v>28112</v>
      </c>
      <c r="F14" s="382">
        <v>51814</v>
      </c>
      <c r="G14" s="382">
        <v>60493.65</v>
      </c>
      <c r="H14" s="382">
        <v>69567.697499999995</v>
      </c>
      <c r="I14" s="385">
        <f>I15*30</f>
        <v>15360</v>
      </c>
      <c r="J14" s="385">
        <f>J15*30</f>
        <v>15270</v>
      </c>
      <c r="K14" s="385">
        <f>K15*50</f>
        <v>30500</v>
      </c>
      <c r="L14" s="385">
        <f t="shared" ref="L14:U14" si="4">L15*50</f>
        <v>0</v>
      </c>
      <c r="M14" s="385">
        <f t="shared" si="4"/>
        <v>0</v>
      </c>
      <c r="N14" s="385">
        <f t="shared" si="4"/>
        <v>0</v>
      </c>
      <c r="O14" s="385">
        <f t="shared" si="4"/>
        <v>0</v>
      </c>
      <c r="P14" s="385">
        <f t="shared" si="4"/>
        <v>0</v>
      </c>
      <c r="Q14" s="385">
        <f t="shared" si="4"/>
        <v>0</v>
      </c>
      <c r="R14" s="385">
        <f t="shared" si="4"/>
        <v>0</v>
      </c>
      <c r="S14" s="385">
        <f t="shared" si="4"/>
        <v>0</v>
      </c>
      <c r="T14" s="385">
        <f t="shared" si="4"/>
        <v>0</v>
      </c>
      <c r="U14" s="385">
        <f t="shared" si="4"/>
        <v>31000</v>
      </c>
      <c r="V14" s="385">
        <f>V15*60</f>
        <v>37800</v>
      </c>
    </row>
    <row r="15" spans="1:23" ht="16.5" customHeight="1">
      <c r="A15" s="367"/>
      <c r="B15" s="368" t="s">
        <v>279</v>
      </c>
      <c r="C15" s="367" t="s">
        <v>280</v>
      </c>
      <c r="D15" s="381"/>
      <c r="E15" s="382"/>
      <c r="F15" s="382"/>
      <c r="G15" s="382"/>
      <c r="H15" s="382"/>
      <c r="I15" s="385">
        <v>512</v>
      </c>
      <c r="J15" s="385">
        <v>509</v>
      </c>
      <c r="K15" s="385">
        <v>610</v>
      </c>
      <c r="L15" s="382"/>
      <c r="M15" s="382"/>
      <c r="N15" s="382"/>
      <c r="O15" s="370"/>
      <c r="P15" s="384"/>
      <c r="Q15" s="370"/>
      <c r="R15" s="370"/>
      <c r="S15" s="370"/>
      <c r="T15" s="370"/>
      <c r="U15" s="384">
        <v>620</v>
      </c>
      <c r="V15" s="384">
        <v>630</v>
      </c>
    </row>
    <row r="16" spans="1:23" ht="31.5" customHeight="1">
      <c r="A16" s="367">
        <v>2</v>
      </c>
      <c r="B16" s="368" t="s">
        <v>281</v>
      </c>
      <c r="C16" s="367" t="s">
        <v>130</v>
      </c>
      <c r="D16" s="381">
        <v>55328</v>
      </c>
      <c r="E16" s="381">
        <v>57288</v>
      </c>
      <c r="F16" s="381">
        <v>75556.800000000003</v>
      </c>
      <c r="G16" s="381">
        <v>100400</v>
      </c>
      <c r="H16" s="381">
        <v>129184</v>
      </c>
      <c r="I16" s="386">
        <f>I17*40</f>
        <v>34080</v>
      </c>
      <c r="J16" s="386">
        <f>J17*40</f>
        <v>35480</v>
      </c>
      <c r="K16" s="386">
        <f>K17*60</f>
        <v>54000</v>
      </c>
      <c r="L16" s="386">
        <f t="shared" ref="L16:T16" si="5">L17*60</f>
        <v>0</v>
      </c>
      <c r="M16" s="386">
        <f t="shared" si="5"/>
        <v>0</v>
      </c>
      <c r="N16" s="386">
        <f t="shared" si="5"/>
        <v>0</v>
      </c>
      <c r="O16" s="386">
        <f t="shared" si="5"/>
        <v>0</v>
      </c>
      <c r="P16" s="386">
        <f t="shared" si="5"/>
        <v>0</v>
      </c>
      <c r="Q16" s="386">
        <f t="shared" si="5"/>
        <v>0</v>
      </c>
      <c r="R16" s="386">
        <f t="shared" si="5"/>
        <v>0</v>
      </c>
      <c r="S16" s="386">
        <f t="shared" si="5"/>
        <v>0</v>
      </c>
      <c r="T16" s="386">
        <f t="shared" si="5"/>
        <v>0</v>
      </c>
      <c r="U16" s="386">
        <f>U17*70</f>
        <v>70840</v>
      </c>
      <c r="V16" s="386">
        <f>V17*80</f>
        <v>88000</v>
      </c>
      <c r="W16" s="152">
        <f>90/12</f>
        <v>7.5</v>
      </c>
    </row>
    <row r="17" spans="1:24" ht="17.25" customHeight="1">
      <c r="A17" s="367"/>
      <c r="B17" s="368" t="s">
        <v>279</v>
      </c>
      <c r="C17" s="367" t="s">
        <v>280</v>
      </c>
      <c r="D17" s="381"/>
      <c r="E17" s="381"/>
      <c r="F17" s="381"/>
      <c r="G17" s="381"/>
      <c r="H17" s="381"/>
      <c r="I17" s="386">
        <v>852</v>
      </c>
      <c r="J17" s="386">
        <v>887</v>
      </c>
      <c r="K17" s="386">
        <v>900</v>
      </c>
      <c r="L17" s="381"/>
      <c r="M17" s="381"/>
      <c r="N17" s="381"/>
      <c r="O17" s="370"/>
      <c r="P17" s="384"/>
      <c r="Q17" s="384"/>
      <c r="R17" s="370"/>
      <c r="S17" s="370"/>
      <c r="T17" s="370"/>
      <c r="U17" s="384">
        <v>1012</v>
      </c>
      <c r="V17" s="384">
        <v>1100</v>
      </c>
    </row>
    <row r="18" spans="1:24" ht="17.25" customHeight="1">
      <c r="A18" s="367">
        <v>3</v>
      </c>
      <c r="B18" s="368" t="s">
        <v>282</v>
      </c>
      <c r="C18" s="367" t="s">
        <v>130</v>
      </c>
      <c r="D18" s="381"/>
      <c r="E18" s="381"/>
      <c r="F18" s="381"/>
      <c r="G18" s="381"/>
      <c r="H18" s="381"/>
      <c r="I18" s="384">
        <f>I19*30</f>
        <v>3030</v>
      </c>
      <c r="J18" s="384">
        <f>J19*35</f>
        <v>4270</v>
      </c>
      <c r="K18" s="384">
        <f>K19*40</f>
        <v>5400</v>
      </c>
      <c r="L18" s="384">
        <f t="shared" ref="L18:T18" si="6">L19*40</f>
        <v>0</v>
      </c>
      <c r="M18" s="384">
        <f t="shared" si="6"/>
        <v>0</v>
      </c>
      <c r="N18" s="384">
        <f t="shared" si="6"/>
        <v>0</v>
      </c>
      <c r="O18" s="384">
        <f t="shared" si="6"/>
        <v>0</v>
      </c>
      <c r="P18" s="384">
        <f t="shared" si="6"/>
        <v>0</v>
      </c>
      <c r="Q18" s="384">
        <f t="shared" si="6"/>
        <v>0</v>
      </c>
      <c r="R18" s="384">
        <f t="shared" si="6"/>
        <v>0</v>
      </c>
      <c r="S18" s="384">
        <f t="shared" si="6"/>
        <v>0</v>
      </c>
      <c r="T18" s="384">
        <f t="shared" si="6"/>
        <v>0</v>
      </c>
      <c r="U18" s="384">
        <f>U19*50</f>
        <v>7350</v>
      </c>
      <c r="V18" s="384">
        <f>V19*50</f>
        <v>7500</v>
      </c>
    </row>
    <row r="19" spans="1:24" ht="17.25" customHeight="1">
      <c r="A19" s="367"/>
      <c r="B19" s="368" t="s">
        <v>279</v>
      </c>
      <c r="C19" s="367" t="s">
        <v>280</v>
      </c>
      <c r="D19" s="381"/>
      <c r="E19" s="381"/>
      <c r="F19" s="381"/>
      <c r="G19" s="381"/>
      <c r="H19" s="381"/>
      <c r="I19" s="386">
        <v>101</v>
      </c>
      <c r="J19" s="386">
        <v>122</v>
      </c>
      <c r="K19" s="386">
        <v>135</v>
      </c>
      <c r="L19" s="381"/>
      <c r="M19" s="381"/>
      <c r="N19" s="381"/>
      <c r="O19" s="370"/>
      <c r="P19" s="384"/>
      <c r="Q19" s="384"/>
      <c r="R19" s="370"/>
      <c r="S19" s="370"/>
      <c r="T19" s="370"/>
      <c r="U19" s="384">
        <v>147</v>
      </c>
      <c r="V19" s="384">
        <v>150</v>
      </c>
    </row>
    <row r="20" spans="1:24" ht="30.75" customHeight="1">
      <c r="A20" s="367">
        <v>4</v>
      </c>
      <c r="B20" s="368" t="s">
        <v>283</v>
      </c>
      <c r="C20" s="367" t="s">
        <v>130</v>
      </c>
      <c r="D20" s="381"/>
      <c r="E20" s="381"/>
      <c r="F20" s="381"/>
      <c r="G20" s="381"/>
      <c r="H20" s="381"/>
      <c r="I20" s="384">
        <f>I21*11205</f>
        <v>168075</v>
      </c>
      <c r="J20" s="384">
        <f>J21*12205</f>
        <v>207485</v>
      </c>
      <c r="K20" s="449">
        <f>K21*14000</f>
        <v>238000</v>
      </c>
      <c r="L20" s="449">
        <f t="shared" ref="L20:U20" si="7">L21*14000</f>
        <v>0</v>
      </c>
      <c r="M20" s="449">
        <f t="shared" si="7"/>
        <v>0</v>
      </c>
      <c r="N20" s="449">
        <f t="shared" si="7"/>
        <v>0</v>
      </c>
      <c r="O20" s="449">
        <f t="shared" si="7"/>
        <v>0</v>
      </c>
      <c r="P20" s="449">
        <f t="shared" si="7"/>
        <v>0</v>
      </c>
      <c r="Q20" s="449">
        <f t="shared" si="7"/>
        <v>0</v>
      </c>
      <c r="R20" s="449">
        <f t="shared" si="7"/>
        <v>0</v>
      </c>
      <c r="S20" s="449">
        <f t="shared" si="7"/>
        <v>0</v>
      </c>
      <c r="T20" s="449">
        <f t="shared" si="7"/>
        <v>0</v>
      </c>
      <c r="U20" s="449">
        <f t="shared" si="7"/>
        <v>238000</v>
      </c>
      <c r="V20" s="449">
        <f>V21*14000</f>
        <v>252000</v>
      </c>
    </row>
    <row r="21" spans="1:24" ht="36" customHeight="1">
      <c r="A21" s="367"/>
      <c r="B21" s="368" t="s">
        <v>283</v>
      </c>
      <c r="C21" s="367" t="s">
        <v>284</v>
      </c>
      <c r="D21" s="381"/>
      <c r="E21" s="381"/>
      <c r="F21" s="381"/>
      <c r="G21" s="381"/>
      <c r="H21" s="381"/>
      <c r="I21" s="386">
        <v>15</v>
      </c>
      <c r="J21" s="386">
        <v>17</v>
      </c>
      <c r="K21" s="450">
        <v>17</v>
      </c>
      <c r="L21" s="451"/>
      <c r="M21" s="451"/>
      <c r="N21" s="451"/>
      <c r="O21" s="452"/>
      <c r="P21" s="449"/>
      <c r="Q21" s="449"/>
      <c r="R21" s="452"/>
      <c r="S21" s="452"/>
      <c r="T21" s="452"/>
      <c r="U21" s="449">
        <v>17</v>
      </c>
      <c r="V21" s="449">
        <v>18</v>
      </c>
      <c r="W21" s="453"/>
    </row>
    <row r="22" spans="1:24" ht="20.25" customHeight="1">
      <c r="A22" s="367">
        <v>5</v>
      </c>
      <c r="B22" s="368" t="s">
        <v>285</v>
      </c>
      <c r="C22" s="367" t="s">
        <v>130</v>
      </c>
      <c r="D22" s="370"/>
      <c r="E22" s="370"/>
      <c r="F22" s="370"/>
      <c r="G22" s="370"/>
      <c r="H22" s="370"/>
      <c r="I22" s="384">
        <v>36232</v>
      </c>
      <c r="J22" s="384">
        <f>J23*1500</f>
        <v>37500</v>
      </c>
      <c r="K22" s="384">
        <f>K23*1500</f>
        <v>37500</v>
      </c>
      <c r="L22" s="384">
        <f t="shared" ref="L22:V22" si="8">L23*1500</f>
        <v>0</v>
      </c>
      <c r="M22" s="384">
        <f t="shared" si="8"/>
        <v>0</v>
      </c>
      <c r="N22" s="384">
        <f t="shared" si="8"/>
        <v>0</v>
      </c>
      <c r="O22" s="384">
        <f t="shared" si="8"/>
        <v>0</v>
      </c>
      <c r="P22" s="384">
        <f t="shared" si="8"/>
        <v>0</v>
      </c>
      <c r="Q22" s="384">
        <f t="shared" si="8"/>
        <v>0</v>
      </c>
      <c r="R22" s="384">
        <f t="shared" si="8"/>
        <v>0</v>
      </c>
      <c r="S22" s="384">
        <f t="shared" si="8"/>
        <v>0</v>
      </c>
      <c r="T22" s="384">
        <f t="shared" si="8"/>
        <v>0</v>
      </c>
      <c r="U22" s="384">
        <f t="shared" si="8"/>
        <v>30000</v>
      </c>
      <c r="V22" s="384">
        <f t="shared" si="8"/>
        <v>15000</v>
      </c>
    </row>
    <row r="23" spans="1:24" ht="20.25" customHeight="1">
      <c r="A23" s="367"/>
      <c r="B23" s="370" t="s">
        <v>286</v>
      </c>
      <c r="C23" s="367" t="s">
        <v>287</v>
      </c>
      <c r="D23" s="381"/>
      <c r="E23" s="381"/>
      <c r="F23" s="381"/>
      <c r="G23" s="381"/>
      <c r="H23" s="381"/>
      <c r="I23" s="386">
        <v>25</v>
      </c>
      <c r="J23" s="386">
        <v>25</v>
      </c>
      <c r="K23" s="386">
        <v>25</v>
      </c>
      <c r="L23" s="381"/>
      <c r="M23" s="381"/>
      <c r="N23" s="381"/>
      <c r="O23" s="370"/>
      <c r="P23" s="384"/>
      <c r="Q23" s="384"/>
      <c r="R23" s="370"/>
      <c r="S23" s="370"/>
      <c r="T23" s="370"/>
      <c r="U23" s="384">
        <v>20</v>
      </c>
      <c r="V23" s="384">
        <v>10</v>
      </c>
    </row>
    <row r="24" spans="1:24" ht="51.75" customHeight="1">
      <c r="A24" s="367">
        <v>6</v>
      </c>
      <c r="B24" s="368" t="s">
        <v>345</v>
      </c>
      <c r="C24" s="367" t="s">
        <v>130</v>
      </c>
      <c r="D24" s="382">
        <v>142886</v>
      </c>
      <c r="E24" s="383">
        <v>159303</v>
      </c>
      <c r="F24" s="383">
        <v>184910</v>
      </c>
      <c r="G24" s="383">
        <v>209899</v>
      </c>
      <c r="H24" s="383">
        <v>230522</v>
      </c>
      <c r="I24" s="384">
        <v>259709</v>
      </c>
      <c r="J24" s="385">
        <v>265000</v>
      </c>
      <c r="K24" s="385">
        <v>284151</v>
      </c>
      <c r="L24" s="382">
        <v>298358.55</v>
      </c>
      <c r="M24" s="382">
        <v>313276.47749999998</v>
      </c>
      <c r="N24" s="382">
        <v>338338.59570000001</v>
      </c>
      <c r="O24" s="370"/>
      <c r="P24" s="384">
        <f>I24*112%</f>
        <v>290874.08</v>
      </c>
      <c r="Q24" s="384">
        <f>J24+J25</f>
        <v>323200</v>
      </c>
      <c r="R24" s="370">
        <f>J24/J11%</f>
        <v>36.379610944085222</v>
      </c>
      <c r="S24" s="370"/>
      <c r="T24" s="370"/>
      <c r="U24" s="384">
        <f>K24*107%</f>
        <v>304041.57</v>
      </c>
      <c r="V24" s="384">
        <f>L24*113%</f>
        <v>337145.16149999993</v>
      </c>
      <c r="W24" s="217">
        <f>V24/U24%</f>
        <v>110.8878504672897</v>
      </c>
    </row>
    <row r="25" spans="1:24" ht="20.25" customHeight="1">
      <c r="A25" s="367">
        <v>7</v>
      </c>
      <c r="B25" s="368" t="s">
        <v>288</v>
      </c>
      <c r="C25" s="367" t="s">
        <v>130</v>
      </c>
      <c r="D25" s="382">
        <v>7255</v>
      </c>
      <c r="E25" s="383">
        <v>10500</v>
      </c>
      <c r="F25" s="383">
        <v>18555</v>
      </c>
      <c r="G25" s="383">
        <v>28225</v>
      </c>
      <c r="H25" s="383">
        <v>39800</v>
      </c>
      <c r="I25" s="385">
        <v>57736</v>
      </c>
      <c r="J25" s="385">
        <v>58200</v>
      </c>
      <c r="K25" s="385">
        <v>61835.256000000001</v>
      </c>
      <c r="L25" s="382">
        <v>64927.018800000005</v>
      </c>
      <c r="M25" s="382">
        <v>68173.369740000009</v>
      </c>
      <c r="N25" s="382">
        <v>71582.038227000012</v>
      </c>
      <c r="O25" s="370"/>
      <c r="P25" s="384">
        <f>I25*112%</f>
        <v>64664.320000000007</v>
      </c>
      <c r="Q25" s="370">
        <f>Q24/J11%</f>
        <v>44.369397196710736</v>
      </c>
      <c r="R25" s="370"/>
      <c r="S25" s="370"/>
      <c r="T25" s="370"/>
      <c r="U25" s="384">
        <v>42500</v>
      </c>
      <c r="V25" s="384">
        <v>62000</v>
      </c>
    </row>
    <row r="26" spans="1:24" ht="20.25" customHeight="1">
      <c r="A26" s="373" t="s">
        <v>257</v>
      </c>
      <c r="B26" s="374" t="s">
        <v>289</v>
      </c>
      <c r="C26" s="367"/>
      <c r="D26" s="387">
        <f>D28/D27</f>
        <v>299.60439560439562</v>
      </c>
      <c r="E26" s="387">
        <f t="shared" ref="E26:N26" si="9">E28/E27</f>
        <v>323.36326530612246</v>
      </c>
      <c r="F26" s="387">
        <f t="shared" si="9"/>
        <v>505.39083557951477</v>
      </c>
      <c r="G26" s="387">
        <f t="shared" si="9"/>
        <v>619.20503338394792</v>
      </c>
      <c r="H26" s="387">
        <f t="shared" si="9"/>
        <v>764.65327561870333</v>
      </c>
      <c r="I26" s="388"/>
      <c r="J26" s="388"/>
      <c r="K26" s="388"/>
      <c r="L26" s="387">
        <f t="shared" si="9"/>
        <v>600</v>
      </c>
      <c r="M26" s="387">
        <f t="shared" si="9"/>
        <v>600</v>
      </c>
      <c r="N26" s="387">
        <f t="shared" si="9"/>
        <v>600</v>
      </c>
      <c r="O26" s="370"/>
      <c r="P26" s="370"/>
      <c r="Q26" s="370"/>
      <c r="R26" s="370"/>
      <c r="S26" s="370"/>
      <c r="T26" s="370"/>
      <c r="U26" s="370"/>
      <c r="V26" s="370"/>
    </row>
    <row r="27" spans="1:24" ht="20.25" customHeight="1">
      <c r="A27" s="367">
        <v>3</v>
      </c>
      <c r="B27" s="368" t="s">
        <v>290</v>
      </c>
      <c r="C27" s="367" t="s">
        <v>291</v>
      </c>
      <c r="D27" s="389">
        <v>91</v>
      </c>
      <c r="E27" s="390">
        <v>98</v>
      </c>
      <c r="F27" s="391">
        <f>E27*106%</f>
        <v>103.88000000000001</v>
      </c>
      <c r="G27" s="391">
        <f t="shared" ref="G27:N27" si="10">F27*106%</f>
        <v>110.11280000000002</v>
      </c>
      <c r="H27" s="391">
        <f t="shared" si="10"/>
        <v>116.71956800000002</v>
      </c>
      <c r="I27" s="392">
        <f t="shared" si="10"/>
        <v>123.72274208000003</v>
      </c>
      <c r="J27" s="392">
        <f t="shared" si="10"/>
        <v>131.14610660480005</v>
      </c>
      <c r="K27" s="392">
        <f t="shared" si="10"/>
        <v>139.01487300108806</v>
      </c>
      <c r="L27" s="391">
        <f t="shared" si="10"/>
        <v>147.35576538115336</v>
      </c>
      <c r="M27" s="391">
        <f t="shared" si="10"/>
        <v>156.19711130402257</v>
      </c>
      <c r="N27" s="391">
        <f t="shared" si="10"/>
        <v>165.56893798226395</v>
      </c>
      <c r="O27" s="370"/>
      <c r="P27" s="370"/>
      <c r="Q27" s="370"/>
      <c r="R27" s="370"/>
      <c r="S27" s="370"/>
      <c r="T27" s="370"/>
      <c r="U27" s="370">
        <v>142</v>
      </c>
      <c r="V27" s="370">
        <v>165</v>
      </c>
      <c r="W27" s="270"/>
    </row>
    <row r="28" spans="1:24" s="212" customFormat="1" ht="24.75" customHeight="1">
      <c r="A28" s="373" t="s">
        <v>152</v>
      </c>
      <c r="B28" s="374" t="s">
        <v>292</v>
      </c>
      <c r="C28" s="373" t="s">
        <v>130</v>
      </c>
      <c r="D28" s="393">
        <v>27264</v>
      </c>
      <c r="E28" s="393">
        <v>31689.599999999999</v>
      </c>
      <c r="F28" s="393">
        <v>52500</v>
      </c>
      <c r="G28" s="393">
        <v>68182.399999999994</v>
      </c>
      <c r="H28" s="393">
        <v>89250</v>
      </c>
      <c r="I28" s="394">
        <v>60155</v>
      </c>
      <c r="J28" s="394">
        <v>74500</v>
      </c>
      <c r="K28" s="394">
        <f>K27*50*12</f>
        <v>83408.923800652832</v>
      </c>
      <c r="L28" s="394">
        <f t="shared" ref="L28:U28" si="11">L27*50*12</f>
        <v>88413.459228692023</v>
      </c>
      <c r="M28" s="394">
        <f t="shared" si="11"/>
        <v>93718.266782413542</v>
      </c>
      <c r="N28" s="394">
        <f t="shared" si="11"/>
        <v>99341.362789358376</v>
      </c>
      <c r="O28" s="394">
        <f t="shared" si="11"/>
        <v>0</v>
      </c>
      <c r="P28" s="394">
        <f t="shared" si="11"/>
        <v>0</v>
      </c>
      <c r="Q28" s="394">
        <f t="shared" si="11"/>
        <v>0</v>
      </c>
      <c r="R28" s="394">
        <f t="shared" si="11"/>
        <v>0</v>
      </c>
      <c r="S28" s="394">
        <f t="shared" si="11"/>
        <v>0</v>
      </c>
      <c r="T28" s="394">
        <f t="shared" si="11"/>
        <v>0</v>
      </c>
      <c r="U28" s="394">
        <f t="shared" si="11"/>
        <v>85200</v>
      </c>
      <c r="V28" s="394">
        <f>V27*50*12</f>
        <v>99000</v>
      </c>
      <c r="X28" s="269"/>
    </row>
    <row r="29" spans="1:24" ht="24.75" hidden="1" customHeight="1">
      <c r="A29" s="367">
        <v>4</v>
      </c>
      <c r="B29" s="368" t="s">
        <v>293</v>
      </c>
      <c r="C29" s="367"/>
      <c r="D29" s="395"/>
      <c r="E29" s="396"/>
      <c r="F29" s="391"/>
      <c r="G29" s="396"/>
      <c r="H29" s="396"/>
      <c r="I29" s="397"/>
      <c r="J29" s="397"/>
      <c r="K29" s="397"/>
      <c r="L29" s="396"/>
      <c r="M29" s="396"/>
      <c r="N29" s="396"/>
      <c r="O29" s="370"/>
      <c r="P29" s="370"/>
      <c r="Q29" s="370"/>
      <c r="R29" s="370"/>
      <c r="S29" s="370"/>
      <c r="T29" s="370"/>
      <c r="U29" s="370"/>
      <c r="V29" s="370"/>
    </row>
    <row r="30" spans="1:24" ht="24.75" hidden="1" customHeight="1">
      <c r="A30" s="367" t="s">
        <v>160</v>
      </c>
      <c r="B30" s="368" t="s">
        <v>294</v>
      </c>
      <c r="C30" s="367" t="s">
        <v>295</v>
      </c>
      <c r="D30" s="398">
        <v>47.7</v>
      </c>
      <c r="E30" s="398">
        <v>47.7</v>
      </c>
      <c r="F30" s="398">
        <v>47.7</v>
      </c>
      <c r="G30" s="398">
        <v>47.7</v>
      </c>
      <c r="H30" s="398">
        <v>47.7</v>
      </c>
      <c r="I30" s="398">
        <v>47.7</v>
      </c>
      <c r="J30" s="398">
        <v>47.7</v>
      </c>
      <c r="K30" s="398">
        <v>47.7</v>
      </c>
      <c r="L30" s="398">
        <v>47.7</v>
      </c>
      <c r="M30" s="398">
        <v>47.7</v>
      </c>
      <c r="N30" s="398">
        <v>47.4</v>
      </c>
      <c r="O30" s="370"/>
      <c r="P30" s="370"/>
      <c r="Q30" s="370"/>
      <c r="R30" s="370"/>
      <c r="S30" s="370"/>
      <c r="T30" s="370"/>
      <c r="U30" s="370"/>
      <c r="V30" s="370"/>
    </row>
    <row r="31" spans="1:24" ht="24.75" hidden="1" customHeight="1">
      <c r="A31" s="367"/>
      <c r="B31" s="368" t="s">
        <v>296</v>
      </c>
      <c r="C31" s="367" t="s">
        <v>29</v>
      </c>
      <c r="D31" s="398">
        <f>45/47.7*100</f>
        <v>94.339622641509422</v>
      </c>
      <c r="E31" s="398">
        <f t="shared" ref="E31:N31" si="12">D31</f>
        <v>94.339622641509422</v>
      </c>
      <c r="F31" s="398">
        <f t="shared" si="12"/>
        <v>94.339622641509422</v>
      </c>
      <c r="G31" s="398">
        <f t="shared" si="12"/>
        <v>94.339622641509422</v>
      </c>
      <c r="H31" s="398">
        <f t="shared" si="12"/>
        <v>94.339622641509422</v>
      </c>
      <c r="I31" s="398">
        <f t="shared" si="12"/>
        <v>94.339622641509422</v>
      </c>
      <c r="J31" s="398">
        <f t="shared" si="12"/>
        <v>94.339622641509422</v>
      </c>
      <c r="K31" s="398">
        <f t="shared" si="12"/>
        <v>94.339622641509422</v>
      </c>
      <c r="L31" s="398">
        <f t="shared" si="12"/>
        <v>94.339622641509422</v>
      </c>
      <c r="M31" s="398">
        <f t="shared" si="12"/>
        <v>94.339622641509422</v>
      </c>
      <c r="N31" s="398">
        <f t="shared" si="12"/>
        <v>94.339622641509422</v>
      </c>
      <c r="O31" s="370"/>
      <c r="P31" s="370"/>
      <c r="Q31" s="370"/>
      <c r="R31" s="370"/>
      <c r="S31" s="370"/>
      <c r="T31" s="370"/>
      <c r="U31" s="370"/>
      <c r="V31" s="370"/>
    </row>
    <row r="32" spans="1:24" ht="24.75" hidden="1" customHeight="1">
      <c r="A32" s="367" t="s">
        <v>161</v>
      </c>
      <c r="B32" s="368" t="s">
        <v>297</v>
      </c>
      <c r="C32" s="367" t="s">
        <v>295</v>
      </c>
      <c r="D32" s="398">
        <v>131.4</v>
      </c>
      <c r="E32" s="397">
        <v>133.9</v>
      </c>
      <c r="F32" s="397">
        <v>138.5</v>
      </c>
      <c r="G32" s="397">
        <v>145.6</v>
      </c>
      <c r="H32" s="397">
        <v>154.6</v>
      </c>
      <c r="I32" s="397">
        <v>165.6</v>
      </c>
      <c r="J32" s="397">
        <v>167</v>
      </c>
      <c r="K32" s="397">
        <v>169</v>
      </c>
      <c r="L32" s="397">
        <v>171</v>
      </c>
      <c r="M32" s="397">
        <v>173</v>
      </c>
      <c r="N32" s="397">
        <v>175</v>
      </c>
      <c r="O32" s="370"/>
      <c r="P32" s="370"/>
      <c r="Q32" s="370"/>
      <c r="R32" s="370"/>
      <c r="S32" s="370"/>
      <c r="T32" s="370"/>
      <c r="U32" s="370"/>
      <c r="V32" s="370"/>
    </row>
    <row r="33" spans="1:23" ht="24.75" hidden="1" customHeight="1">
      <c r="A33" s="367"/>
      <c r="B33" s="368" t="s">
        <v>298</v>
      </c>
      <c r="C33" s="367" t="s">
        <v>29</v>
      </c>
      <c r="D33" s="398">
        <v>93</v>
      </c>
      <c r="E33" s="397">
        <v>99</v>
      </c>
      <c r="F33" s="397">
        <v>96.1</v>
      </c>
      <c r="G33" s="397">
        <v>97.3</v>
      </c>
      <c r="H33" s="397">
        <v>98.1</v>
      </c>
      <c r="I33" s="397">
        <v>99.3</v>
      </c>
      <c r="J33" s="397">
        <v>99.5</v>
      </c>
      <c r="K33" s="397">
        <v>99.6</v>
      </c>
      <c r="L33" s="397">
        <v>99.7</v>
      </c>
      <c r="M33" s="397">
        <v>99.8</v>
      </c>
      <c r="N33" s="397">
        <v>100</v>
      </c>
      <c r="O33" s="370"/>
      <c r="P33" s="370"/>
      <c r="Q33" s="370"/>
      <c r="R33" s="370"/>
      <c r="S33" s="370"/>
      <c r="T33" s="370"/>
      <c r="U33" s="370"/>
      <c r="V33" s="370"/>
    </row>
    <row r="34" spans="1:23" ht="24.75" hidden="1" customHeight="1">
      <c r="A34" s="367" t="s">
        <v>162</v>
      </c>
      <c r="B34" s="368" t="s">
        <v>299</v>
      </c>
      <c r="C34" s="367" t="s">
        <v>295</v>
      </c>
      <c r="D34" s="398">
        <v>62</v>
      </c>
      <c r="E34" s="397">
        <v>63</v>
      </c>
      <c r="F34" s="397">
        <v>64</v>
      </c>
      <c r="G34" s="397">
        <v>67</v>
      </c>
      <c r="H34" s="397">
        <v>71.7</v>
      </c>
      <c r="I34" s="397">
        <v>80</v>
      </c>
      <c r="J34" s="397">
        <v>80.5</v>
      </c>
      <c r="K34" s="397">
        <v>81</v>
      </c>
      <c r="L34" s="397">
        <v>83</v>
      </c>
      <c r="M34" s="397">
        <v>85</v>
      </c>
      <c r="N34" s="397">
        <v>88</v>
      </c>
      <c r="O34" s="370"/>
      <c r="P34" s="370"/>
      <c r="Q34" s="370"/>
      <c r="R34" s="370"/>
      <c r="S34" s="370"/>
      <c r="T34" s="370"/>
      <c r="U34" s="370"/>
      <c r="V34" s="370"/>
    </row>
    <row r="35" spans="1:23" ht="24.75" hidden="1" customHeight="1">
      <c r="A35" s="367"/>
      <c r="B35" s="368" t="s">
        <v>300</v>
      </c>
      <c r="C35" s="367" t="s">
        <v>29</v>
      </c>
      <c r="D35" s="398">
        <v>56.8</v>
      </c>
      <c r="E35" s="397">
        <v>71</v>
      </c>
      <c r="F35" s="397">
        <v>82</v>
      </c>
      <c r="G35" s="397">
        <v>91</v>
      </c>
      <c r="H35" s="397">
        <v>99.2</v>
      </c>
      <c r="I35" s="397">
        <v>99.5</v>
      </c>
      <c r="J35" s="397">
        <v>99.6</v>
      </c>
      <c r="K35" s="397">
        <v>99.7</v>
      </c>
      <c r="L35" s="397">
        <v>99.8</v>
      </c>
      <c r="M35" s="397">
        <v>99.9</v>
      </c>
      <c r="N35" s="397">
        <v>100</v>
      </c>
      <c r="O35" s="370"/>
      <c r="P35" s="370"/>
      <c r="Q35" s="370"/>
      <c r="R35" s="370"/>
      <c r="S35" s="370"/>
      <c r="T35" s="370"/>
      <c r="U35" s="370"/>
      <c r="V35" s="370"/>
    </row>
    <row r="36" spans="1:23" ht="24.75" hidden="1" customHeight="1">
      <c r="A36" s="367" t="s">
        <v>163</v>
      </c>
      <c r="B36" s="368" t="s">
        <v>301</v>
      </c>
      <c r="C36" s="367" t="s">
        <v>295</v>
      </c>
      <c r="D36" s="369">
        <v>38</v>
      </c>
      <c r="E36" s="399">
        <v>46</v>
      </c>
      <c r="F36" s="399">
        <v>51.5</v>
      </c>
      <c r="G36" s="399">
        <v>56.5</v>
      </c>
      <c r="H36" s="399">
        <v>64.5</v>
      </c>
      <c r="I36" s="399">
        <v>73</v>
      </c>
      <c r="J36" s="399">
        <v>76</v>
      </c>
      <c r="K36" s="399">
        <v>80.5</v>
      </c>
      <c r="L36" s="399">
        <v>84.5</v>
      </c>
      <c r="M36" s="399">
        <v>89</v>
      </c>
      <c r="N36" s="399">
        <v>93</v>
      </c>
      <c r="O36" s="370"/>
      <c r="P36" s="370"/>
      <c r="Q36" s="370"/>
      <c r="R36" s="370"/>
      <c r="S36" s="370"/>
      <c r="T36" s="370"/>
      <c r="U36" s="370"/>
      <c r="V36" s="370"/>
    </row>
    <row r="37" spans="1:23" ht="24.75" hidden="1" customHeight="1">
      <c r="A37" s="367"/>
      <c r="B37" s="368" t="s">
        <v>302</v>
      </c>
      <c r="C37" s="367" t="s">
        <v>29</v>
      </c>
      <c r="D37" s="369">
        <v>60</v>
      </c>
      <c r="E37" s="399">
        <v>67</v>
      </c>
      <c r="F37" s="399">
        <v>69</v>
      </c>
      <c r="G37" s="399">
        <v>74</v>
      </c>
      <c r="H37" s="399">
        <v>80</v>
      </c>
      <c r="I37" s="399">
        <v>85</v>
      </c>
      <c r="J37" s="399">
        <v>85.5</v>
      </c>
      <c r="K37" s="399">
        <v>86</v>
      </c>
      <c r="L37" s="399">
        <v>87</v>
      </c>
      <c r="M37" s="399">
        <v>88</v>
      </c>
      <c r="N37" s="399">
        <v>90</v>
      </c>
      <c r="O37" s="370"/>
      <c r="P37" s="370"/>
      <c r="Q37" s="370"/>
      <c r="R37" s="370"/>
      <c r="S37" s="370"/>
      <c r="T37" s="370"/>
      <c r="U37" s="370"/>
      <c r="V37" s="370"/>
    </row>
    <row r="38" spans="1:23" ht="24.75" customHeight="1">
      <c r="A38" s="373" t="s">
        <v>303</v>
      </c>
      <c r="B38" s="374" t="s">
        <v>304</v>
      </c>
      <c r="C38" s="367"/>
      <c r="D38" s="400">
        <f>'[1]B1-TH'!D18*2.2</f>
        <v>13655.400000000001</v>
      </c>
      <c r="E38" s="400">
        <f>'[1]B1-TH'!E18*2.2</f>
        <v>14086.6</v>
      </c>
      <c r="F38" s="400">
        <f>'[1]B1-TH'!F18*2.2</f>
        <v>14432.000000000002</v>
      </c>
      <c r="G38" s="400">
        <f>'[1]B1-TH'!G18*2.2</f>
        <v>14997.400000000001</v>
      </c>
      <c r="H38" s="400">
        <f>'[1]B1-TH'!H18*2.2</f>
        <v>15397.800000000001</v>
      </c>
      <c r="I38" s="400">
        <f>'[1]B1-TH'!I18*2.2</f>
        <v>15683.800000000001</v>
      </c>
      <c r="J38" s="400">
        <f>'[1]B1-TH'!M18*2.2</f>
        <v>15969.800000000001</v>
      </c>
      <c r="K38" s="400">
        <v>17000</v>
      </c>
      <c r="L38" s="400">
        <f>'[1]B1-TH'!O18*2.2</f>
        <v>16541.800000000003</v>
      </c>
      <c r="M38" s="400">
        <f>'[1]B1-TH'!P18*2.2</f>
        <v>16827.800000000003</v>
      </c>
      <c r="N38" s="400">
        <f>'[1]B1-TH'!Q18*2.2</f>
        <v>17113.800000000003</v>
      </c>
      <c r="O38" s="370"/>
      <c r="P38" s="370"/>
      <c r="Q38" s="370"/>
      <c r="R38" s="370"/>
      <c r="S38" s="370"/>
      <c r="T38" s="370"/>
      <c r="U38" s="384">
        <v>17000</v>
      </c>
      <c r="V38" s="384">
        <v>17000</v>
      </c>
      <c r="W38" s="271"/>
    </row>
    <row r="39" spans="1:23" ht="24.75" customHeight="1">
      <c r="A39" s="367">
        <v>1</v>
      </c>
      <c r="B39" s="368" t="s">
        <v>305</v>
      </c>
      <c r="C39" s="367" t="s">
        <v>306</v>
      </c>
      <c r="D39" s="401">
        <f>D38/'[1]B1-TH'!D14*100</f>
        <v>52.401857323765313</v>
      </c>
      <c r="E39" s="402">
        <f>E38/'[1]B1-TH'!E14*100</f>
        <v>53.106880301602267</v>
      </c>
      <c r="F39" s="402">
        <f>F38/'[1]B1-TH'!F14*100</f>
        <v>53.109590049311848</v>
      </c>
      <c r="G39" s="402">
        <f>G38/'[1]B1-TH'!G14*100</f>
        <v>53.711768497958602</v>
      </c>
      <c r="H39" s="402">
        <f>H38/'[1]B1-TH'!H14*100</f>
        <v>54.298703424063312</v>
      </c>
      <c r="I39" s="402">
        <f>I38/'[1]B1-TH'!I14*100</f>
        <v>54.457638888888894</v>
      </c>
      <c r="J39" s="402">
        <f>J38/'[1]B1-TH'!M14*100</f>
        <v>63.121739130434783</v>
      </c>
      <c r="K39" s="402">
        <f>K38/'[1]B1-TH'!N14*100</f>
        <v>66.181104983086826</v>
      </c>
      <c r="L39" s="402">
        <f>L38/'[1]B1-TH'!O14*100</f>
        <v>63.426898013871622</v>
      </c>
      <c r="M39" s="402">
        <f>M38/'[1]B1-TH'!P14*100</f>
        <v>63.551186321040184</v>
      </c>
      <c r="N39" s="402">
        <f>N38/'[1]B1-TH'!Q14*100</f>
        <v>63.65732523420192</v>
      </c>
      <c r="O39" s="370"/>
      <c r="P39" s="370"/>
      <c r="Q39" s="370"/>
      <c r="R39" s="370"/>
      <c r="S39" s="370"/>
      <c r="T39" s="370"/>
      <c r="U39" s="370">
        <v>70</v>
      </c>
      <c r="V39" s="370">
        <v>70</v>
      </c>
      <c r="W39" s="272"/>
    </row>
    <row r="40" spans="1:23" ht="24.75" customHeight="1">
      <c r="A40" s="367">
        <v>2</v>
      </c>
      <c r="B40" s="368" t="s">
        <v>307</v>
      </c>
      <c r="C40" s="367" t="s">
        <v>308</v>
      </c>
      <c r="D40" s="403">
        <f>'[1]B1-TH'!D14*12.1%/100</f>
        <v>31.531390000000002</v>
      </c>
      <c r="E40" s="403">
        <f>'[1]B1-TH'!E14*12.1%/100</f>
        <v>32.09525</v>
      </c>
      <c r="F40" s="403">
        <f>'[1]B1-TH'!F14*12.1%/100</f>
        <v>32.880540000000003</v>
      </c>
      <c r="G40" s="403">
        <f>'[1]B1-TH'!G14*12.1%/100</f>
        <v>33.785620000000002</v>
      </c>
      <c r="H40" s="403">
        <f>'[1]B1-TH'!H14*12.1%/100</f>
        <v>34.312675671999997</v>
      </c>
      <c r="I40" s="403">
        <f>'[1]B1-TH'!I14*12.1%/100</f>
        <v>34.847999999999999</v>
      </c>
      <c r="J40" s="403">
        <f>'[1]B1-TH'!M14*12.1%/100</f>
        <v>30.612999999999996</v>
      </c>
      <c r="K40" s="403">
        <f>'[1]B1-TH'!N14*12.1%/100</f>
        <v>31.081378900000004</v>
      </c>
      <c r="L40" s="403">
        <f>'[1]B1-TH'!O14*12.1%/100</f>
        <v>31.556923997170006</v>
      </c>
      <c r="M40" s="403">
        <f>'[1]B1-TH'!P14*12.1%/100</f>
        <v>32.039744934326706</v>
      </c>
      <c r="N40" s="403">
        <f>'[1]B1-TH'!Q14*12.1%/100</f>
        <v>32.529953031821911</v>
      </c>
      <c r="O40" s="370"/>
      <c r="P40" s="370"/>
      <c r="Q40" s="370"/>
      <c r="R40" s="370"/>
      <c r="S40" s="370"/>
      <c r="T40" s="370"/>
      <c r="U40" s="385">
        <v>31</v>
      </c>
      <c r="V40" s="385">
        <v>31</v>
      </c>
    </row>
    <row r="41" spans="1:23" ht="24.75" customHeight="1">
      <c r="A41" s="367">
        <v>3</v>
      </c>
      <c r="B41" s="368" t="s">
        <v>309</v>
      </c>
      <c r="C41" s="367" t="s">
        <v>310</v>
      </c>
      <c r="D41" s="400">
        <v>5</v>
      </c>
      <c r="E41" s="392">
        <v>7</v>
      </c>
      <c r="F41" s="392">
        <v>6</v>
      </c>
      <c r="G41" s="392">
        <v>7</v>
      </c>
      <c r="H41" s="392">
        <v>7</v>
      </c>
      <c r="I41" s="392">
        <v>6</v>
      </c>
      <c r="J41" s="392">
        <v>8</v>
      </c>
      <c r="K41" s="392">
        <v>9</v>
      </c>
      <c r="L41" s="392">
        <v>8</v>
      </c>
      <c r="M41" s="392">
        <v>8</v>
      </c>
      <c r="N41" s="392">
        <v>8</v>
      </c>
      <c r="O41" s="370"/>
      <c r="P41" s="370"/>
      <c r="Q41" s="370"/>
      <c r="R41" s="370"/>
      <c r="S41" s="370"/>
      <c r="T41" s="370"/>
      <c r="U41" s="370"/>
      <c r="V41" s="370"/>
    </row>
    <row r="42" spans="1:23" ht="38.25" customHeight="1">
      <c r="A42" s="404">
        <v>4</v>
      </c>
      <c r="B42" s="405" t="s">
        <v>311</v>
      </c>
      <c r="C42" s="406" t="s">
        <v>130</v>
      </c>
      <c r="D42" s="407">
        <v>9702</v>
      </c>
      <c r="E42" s="407">
        <v>10422.400000000001</v>
      </c>
      <c r="F42" s="407">
        <v>13757.6</v>
      </c>
      <c r="G42" s="407">
        <v>16500</v>
      </c>
      <c r="H42" s="407">
        <f>18068.336+2450</f>
        <v>20518.335999999999</v>
      </c>
      <c r="I42" s="407">
        <v>27500</v>
      </c>
      <c r="J42" s="407">
        <f>I42*105%</f>
        <v>28875</v>
      </c>
      <c r="K42" s="407">
        <v>30198</v>
      </c>
      <c r="L42" s="407">
        <f>K42*105%</f>
        <v>31707.9</v>
      </c>
      <c r="M42" s="407">
        <f>L42*105%</f>
        <v>33293.295000000006</v>
      </c>
      <c r="N42" s="407">
        <f>M42*105%</f>
        <v>34957.959750000009</v>
      </c>
      <c r="O42" s="408"/>
      <c r="P42" s="408"/>
      <c r="Q42" s="408"/>
      <c r="R42" s="408"/>
      <c r="S42" s="408"/>
      <c r="T42" s="408"/>
      <c r="U42" s="409">
        <v>34520</v>
      </c>
      <c r="V42" s="409">
        <v>38500</v>
      </c>
    </row>
    <row r="46" spans="1:23">
      <c r="K46" s="217"/>
    </row>
  </sheetData>
  <mergeCells count="8">
    <mergeCell ref="A3:N3"/>
    <mergeCell ref="A4:A5"/>
    <mergeCell ref="B4:B5"/>
    <mergeCell ref="C4:C5"/>
    <mergeCell ref="D4:D5"/>
    <mergeCell ref="E4:H4"/>
    <mergeCell ref="I4:I5"/>
    <mergeCell ref="J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Biểu 01</vt:lpstr>
      <vt:lpstr>Nông nghiệp</vt:lpstr>
      <vt:lpstr>Công nghiệp</vt:lpstr>
      <vt:lpstr>Xây dựng</vt:lpstr>
      <vt:lpstr>Thương mại -DV</vt:lpstr>
      <vt:lpstr>'Biểu 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2022-12-07T07:25:22Z</dcterms:modified>
</cp:coreProperties>
</file>