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570" windowHeight="9195"/>
  </bookViews>
  <sheets>
    <sheet name="Biểu 01" sheetId="1" r:id="rId1"/>
    <sheet name="Biểu 2" sheetId="6" r:id="rId2"/>
  </sheets>
  <externalReferences>
    <externalReference r:id="rId3"/>
    <externalReference r:id="rId4"/>
  </externalReferences>
  <definedNames>
    <definedName name="_xlnm.Print_Area" localSheetId="0">'Biểu 01'!$A$1:$J$86</definedName>
    <definedName name="_xlnm.Print_Titles" localSheetId="0">'Biểu 01'!$4:$5</definedName>
    <definedName name="_xlnm.Print_Titles" localSheetId="1">'Biểu 2'!$4:$5</definedName>
  </definedNames>
  <calcPr calcId="144525"/>
</workbook>
</file>

<file path=xl/calcChain.xml><?xml version="1.0" encoding="utf-8"?>
<calcChain xmlns="http://schemas.openxmlformats.org/spreadsheetml/2006/main">
  <c r="F50" i="1" l="1"/>
  <c r="J76" i="6"/>
  <c r="I76" i="6"/>
  <c r="H76" i="6"/>
  <c r="J75" i="6"/>
  <c r="I75" i="6"/>
  <c r="H75" i="6"/>
  <c r="J73" i="6"/>
  <c r="I73" i="6"/>
  <c r="H73" i="6"/>
  <c r="J71" i="6"/>
  <c r="I71" i="6"/>
  <c r="H71" i="6"/>
  <c r="G70" i="6"/>
  <c r="F70" i="6"/>
  <c r="I70" i="6" s="1"/>
  <c r="D70" i="6"/>
  <c r="C70" i="6"/>
  <c r="J69" i="6"/>
  <c r="I69" i="6"/>
  <c r="H69" i="6"/>
  <c r="J67" i="6"/>
  <c r="I67" i="6"/>
  <c r="H67" i="6"/>
  <c r="J66" i="6"/>
  <c r="I66" i="6"/>
  <c r="H66" i="6"/>
  <c r="J65" i="6"/>
  <c r="I65" i="6"/>
  <c r="H65" i="6"/>
  <c r="J63" i="6"/>
  <c r="I63" i="6"/>
  <c r="H63" i="6"/>
  <c r="F62" i="6"/>
  <c r="I62" i="6" s="1"/>
  <c r="D62" i="6"/>
  <c r="J61" i="6"/>
  <c r="I61" i="6"/>
  <c r="G60" i="6"/>
  <c r="F60" i="6"/>
  <c r="E60" i="6"/>
  <c r="D60" i="6"/>
  <c r="C60" i="6"/>
  <c r="J59" i="6"/>
  <c r="I59" i="6"/>
  <c r="H59" i="6"/>
  <c r="J58" i="6"/>
  <c r="I58" i="6"/>
  <c r="H58" i="6"/>
  <c r="J57" i="6"/>
  <c r="I57" i="6"/>
  <c r="H57" i="6"/>
  <c r="J56" i="6"/>
  <c r="I56" i="6"/>
  <c r="H56" i="6"/>
  <c r="G55" i="6"/>
  <c r="F55" i="6"/>
  <c r="E55" i="6"/>
  <c r="D55" i="6"/>
  <c r="C55" i="6"/>
  <c r="J54" i="6"/>
  <c r="I54" i="6"/>
  <c r="H54" i="6"/>
  <c r="J53" i="6"/>
  <c r="F53" i="6"/>
  <c r="I53" i="6" s="1"/>
  <c r="I52" i="6"/>
  <c r="G52" i="6"/>
  <c r="J52" i="6" s="1"/>
  <c r="D52" i="6"/>
  <c r="H52" i="6" s="1"/>
  <c r="J51" i="6"/>
  <c r="I51" i="6"/>
  <c r="H51" i="6"/>
  <c r="J49" i="6"/>
  <c r="I49" i="6"/>
  <c r="H49" i="6"/>
  <c r="M48" i="6"/>
  <c r="J48" i="6"/>
  <c r="I48" i="6"/>
  <c r="H48" i="6"/>
  <c r="I46" i="6"/>
  <c r="G46" i="6"/>
  <c r="D46" i="6"/>
  <c r="H46" i="6" s="1"/>
  <c r="C46" i="6"/>
  <c r="I45" i="6"/>
  <c r="H45" i="6"/>
  <c r="G45" i="6"/>
  <c r="J45" i="6" s="1"/>
  <c r="I44" i="6"/>
  <c r="H44" i="6"/>
  <c r="G44" i="6"/>
  <c r="J44" i="6" s="1"/>
  <c r="J43" i="6"/>
  <c r="I43" i="6"/>
  <c r="H43" i="6"/>
  <c r="G43" i="6"/>
  <c r="J42" i="6"/>
  <c r="I42" i="6"/>
  <c r="H42" i="6"/>
  <c r="G42" i="6"/>
  <c r="J41" i="6"/>
  <c r="I41" i="6"/>
  <c r="H41" i="6"/>
  <c r="G41" i="6"/>
  <c r="J40" i="6"/>
  <c r="I40" i="6"/>
  <c r="H40" i="6"/>
  <c r="G40" i="6"/>
  <c r="J39" i="6"/>
  <c r="I39" i="6"/>
  <c r="H39" i="6"/>
  <c r="G39" i="6"/>
  <c r="J38" i="6"/>
  <c r="I38" i="6"/>
  <c r="H38" i="6"/>
  <c r="G38" i="6"/>
  <c r="J36" i="6"/>
  <c r="I36" i="6"/>
  <c r="H36" i="6"/>
  <c r="J35" i="6"/>
  <c r="I35" i="6"/>
  <c r="H35" i="6"/>
  <c r="J34" i="6"/>
  <c r="I34" i="6"/>
  <c r="H34" i="6"/>
  <c r="J32" i="6"/>
  <c r="I32" i="6"/>
  <c r="H32" i="6"/>
  <c r="J31" i="6"/>
  <c r="I31" i="6"/>
  <c r="H31" i="6"/>
  <c r="J29" i="6"/>
  <c r="I29" i="6"/>
  <c r="H29" i="6"/>
  <c r="J28" i="6"/>
  <c r="I28" i="6"/>
  <c r="H28" i="6"/>
  <c r="J27" i="6"/>
  <c r="I27" i="6"/>
  <c r="H27" i="6"/>
  <c r="J26" i="6"/>
  <c r="I26" i="6"/>
  <c r="H26" i="6"/>
  <c r="J25" i="6"/>
  <c r="I25" i="6"/>
  <c r="H25" i="6"/>
  <c r="J24" i="6"/>
  <c r="I24" i="6"/>
  <c r="H24" i="6"/>
  <c r="J23" i="6"/>
  <c r="I23" i="6"/>
  <c r="H23" i="6"/>
  <c r="I22" i="6"/>
  <c r="H22" i="6"/>
  <c r="C22" i="6"/>
  <c r="J22" i="6" s="1"/>
  <c r="F21" i="6"/>
  <c r="H21" i="6" s="1"/>
  <c r="C21" i="6"/>
  <c r="J21" i="6" s="1"/>
  <c r="I20" i="6"/>
  <c r="H20" i="6"/>
  <c r="C20" i="6"/>
  <c r="J20" i="6" s="1"/>
  <c r="I19" i="6"/>
  <c r="I18" i="6"/>
  <c r="H18" i="6"/>
  <c r="C18" i="6"/>
  <c r="J18" i="6" s="1"/>
  <c r="J17" i="6"/>
  <c r="G17" i="6"/>
  <c r="G16" i="6" s="1"/>
  <c r="F17" i="6"/>
  <c r="E17" i="6"/>
  <c r="E16" i="6" s="1"/>
  <c r="D17" i="6"/>
  <c r="D16" i="6" s="1"/>
  <c r="J14" i="6"/>
  <c r="I14" i="6"/>
  <c r="H14" i="6"/>
  <c r="J13" i="6"/>
  <c r="I13" i="6"/>
  <c r="H13" i="6"/>
  <c r="J12" i="6"/>
  <c r="I12" i="6"/>
  <c r="H12" i="6"/>
  <c r="J11" i="6"/>
  <c r="H11" i="6"/>
  <c r="E11" i="6"/>
  <c r="I11" i="6" s="1"/>
  <c r="J10" i="6"/>
  <c r="I10" i="6"/>
  <c r="H10" i="6"/>
  <c r="G9" i="6"/>
  <c r="F9" i="6"/>
  <c r="D9" i="6"/>
  <c r="C9" i="6"/>
  <c r="J55" i="6" l="1"/>
  <c r="H55" i="6"/>
  <c r="J46" i="6"/>
  <c r="H60" i="6"/>
  <c r="J70" i="6"/>
  <c r="J9" i="6"/>
  <c r="J60" i="6"/>
  <c r="F16" i="6"/>
  <c r="I16" i="6" s="1"/>
  <c r="H17" i="6"/>
  <c r="H9" i="6"/>
  <c r="I9" i="6"/>
  <c r="C16" i="6"/>
  <c r="J16" i="6" s="1"/>
  <c r="I17" i="6"/>
  <c r="C19" i="6"/>
  <c r="J19" i="6" s="1"/>
  <c r="I21" i="6"/>
  <c r="H53" i="6"/>
  <c r="I55" i="6"/>
  <c r="I60" i="6"/>
  <c r="H70" i="6"/>
  <c r="H16" i="6" l="1"/>
  <c r="C54" i="1"/>
  <c r="D57" i="1"/>
  <c r="E57" i="1"/>
  <c r="E56" i="1" s="1"/>
  <c r="G57" i="1"/>
  <c r="C57" i="1"/>
  <c r="C56" i="1" s="1"/>
  <c r="F58" i="1"/>
  <c r="F57" i="1" s="1"/>
  <c r="F59" i="1"/>
  <c r="F68" i="1"/>
  <c r="F69" i="1"/>
  <c r="F70" i="1"/>
  <c r="F67" i="1"/>
  <c r="D56" i="1"/>
  <c r="F77" i="1"/>
  <c r="D77" i="1"/>
  <c r="G76" i="1"/>
  <c r="F76" i="1"/>
  <c r="E76" i="1"/>
  <c r="C76" i="1"/>
  <c r="D76" i="1" s="1"/>
  <c r="D75" i="1"/>
  <c r="F74" i="1"/>
  <c r="D74" i="1"/>
  <c r="D73" i="1"/>
  <c r="D72" i="1"/>
  <c r="G66" i="1"/>
  <c r="E66" i="1"/>
  <c r="D66" i="1"/>
  <c r="C66" i="1"/>
  <c r="G56" i="1"/>
  <c r="G50" i="1"/>
  <c r="E50" i="1"/>
  <c r="D50" i="1"/>
  <c r="F56" i="1" l="1"/>
  <c r="F66" i="1"/>
  <c r="G22" i="1"/>
  <c r="D21" i="1"/>
  <c r="E21" i="1"/>
  <c r="D18" i="1"/>
  <c r="D25" i="1"/>
  <c r="D9" i="1"/>
  <c r="E9" i="1"/>
  <c r="F9" i="1"/>
  <c r="G9" i="1"/>
  <c r="D12" i="1"/>
  <c r="D8" i="1" s="1"/>
  <c r="E12" i="1"/>
  <c r="E8" i="1" s="1"/>
  <c r="F12" i="1"/>
  <c r="G12" i="1"/>
  <c r="C12" i="1"/>
  <c r="L16" i="1"/>
  <c r="F23" i="1"/>
  <c r="F25" i="1"/>
  <c r="F24" i="1"/>
  <c r="F20" i="1"/>
  <c r="F19" i="1"/>
  <c r="F18" i="1" l="1"/>
  <c r="D17" i="1"/>
  <c r="G8" i="1"/>
  <c r="F8" i="1"/>
  <c r="F22" i="1"/>
  <c r="F21" i="1" s="1"/>
  <c r="F17" i="1" s="1"/>
  <c r="F48" i="1" l="1"/>
  <c r="F47" i="1"/>
  <c r="F46" i="1"/>
  <c r="F45" i="1"/>
  <c r="F43" i="1"/>
  <c r="F42" i="1"/>
  <c r="F41" i="1"/>
  <c r="D48" i="1"/>
  <c r="D47" i="1"/>
  <c r="D46" i="1"/>
  <c r="D45" i="1"/>
  <c r="D44" i="1" s="1"/>
  <c r="D43" i="1"/>
  <c r="D42" i="1"/>
  <c r="G23" i="1"/>
  <c r="G20" i="1"/>
  <c r="L24" i="1"/>
  <c r="E20" i="1"/>
  <c r="E18" i="1" s="1"/>
  <c r="E17" i="1" s="1"/>
  <c r="I17" i="1" s="1"/>
  <c r="E35" i="1"/>
  <c r="F44" i="1" l="1"/>
  <c r="H44" i="1" s="1"/>
  <c r="D41" i="1"/>
  <c r="J22" i="1"/>
  <c r="H43" i="1"/>
  <c r="H42" i="1"/>
  <c r="H46" i="1"/>
  <c r="H47" i="1"/>
  <c r="H48" i="1"/>
  <c r="F40" i="1"/>
  <c r="D40" i="1"/>
  <c r="H41" i="1"/>
  <c r="H45" i="1"/>
  <c r="H40" i="1" l="1"/>
  <c r="C21" i="1"/>
  <c r="G19" i="1"/>
  <c r="G18" i="1" s="1"/>
  <c r="G24" i="1"/>
  <c r="G21" i="1" s="1"/>
  <c r="G25" i="1"/>
  <c r="G28" i="1"/>
  <c r="G29" i="1"/>
  <c r="G31" i="1"/>
  <c r="G32" i="1"/>
  <c r="G33" i="1"/>
  <c r="G34" i="1"/>
  <c r="G17" i="1" l="1"/>
  <c r="G27" i="1"/>
  <c r="G30" i="1"/>
  <c r="G26" i="1" s="1"/>
  <c r="G37" i="1" s="1"/>
  <c r="J19" i="1"/>
  <c r="G35" i="1" l="1"/>
  <c r="G39" i="1"/>
  <c r="G38" i="1"/>
  <c r="G36" i="1" s="1"/>
  <c r="I23" i="1" l="1"/>
  <c r="E48" i="1" l="1"/>
  <c r="I48" i="1" s="1"/>
  <c r="C48" i="1"/>
  <c r="E47" i="1"/>
  <c r="I47" i="1" s="1"/>
  <c r="C47" i="1"/>
  <c r="E46" i="1"/>
  <c r="I46" i="1" s="1"/>
  <c r="C46" i="1"/>
  <c r="E45" i="1"/>
  <c r="I45" i="1" s="1"/>
  <c r="C45" i="1"/>
  <c r="C43" i="1"/>
  <c r="C42" i="1"/>
  <c r="C39" i="1"/>
  <c r="C38" i="1"/>
  <c r="C37" i="1"/>
  <c r="C36" i="1"/>
  <c r="C34" i="1"/>
  <c r="C33" i="1"/>
  <c r="C32" i="1"/>
  <c r="C31" i="1"/>
  <c r="C29" i="1"/>
  <c r="C28" i="1"/>
  <c r="C26" i="1"/>
  <c r="G48" i="1"/>
  <c r="J48" i="1" s="1"/>
  <c r="G47" i="1"/>
  <c r="G46" i="1"/>
  <c r="J46" i="1" s="1"/>
  <c r="G45" i="1"/>
  <c r="C18" i="1"/>
  <c r="H25" i="1"/>
  <c r="C9" i="1"/>
  <c r="J47" i="1" l="1"/>
  <c r="J45" i="1"/>
  <c r="C8" i="1"/>
  <c r="H22" i="1"/>
  <c r="C17" i="1"/>
  <c r="C44" i="1"/>
  <c r="C30" i="1"/>
  <c r="C27" i="1"/>
  <c r="E44" i="1"/>
  <c r="I44" i="1" s="1"/>
  <c r="C41" i="1"/>
  <c r="H23" i="1"/>
  <c r="J21" i="1"/>
  <c r="H20" i="1"/>
  <c r="I24" i="1"/>
  <c r="H24" i="1"/>
  <c r="H19" i="1"/>
  <c r="I22" i="1"/>
  <c r="I25" i="1"/>
  <c r="G44" i="1"/>
  <c r="J20" i="1"/>
  <c r="J23" i="1"/>
  <c r="J24" i="1"/>
  <c r="J25" i="1"/>
  <c r="G43" i="1" l="1"/>
  <c r="J43" i="1" s="1"/>
  <c r="J44" i="1"/>
  <c r="G42" i="1"/>
  <c r="J42" i="1" s="1"/>
  <c r="C40" i="1"/>
  <c r="I21" i="1"/>
  <c r="H21" i="1"/>
  <c r="H18" i="1"/>
  <c r="E43" i="1" l="1"/>
  <c r="I43" i="1" s="1"/>
  <c r="I20" i="1"/>
  <c r="G41" i="1"/>
  <c r="J41" i="1" s="1"/>
  <c r="J18" i="1"/>
  <c r="H17" i="1"/>
  <c r="J17" i="1" l="1"/>
  <c r="G40" i="1"/>
  <c r="J40" i="1" s="1"/>
  <c r="E42" i="1" l="1"/>
  <c r="I42" i="1" s="1"/>
  <c r="I19" i="1"/>
  <c r="E41" i="1" l="1"/>
  <c r="I41" i="1" s="1"/>
  <c r="I18" i="1"/>
  <c r="E40" i="1" l="1"/>
  <c r="I40" i="1" s="1"/>
</calcChain>
</file>

<file path=xl/sharedStrings.xml><?xml version="1.0" encoding="utf-8"?>
<sst xmlns="http://schemas.openxmlformats.org/spreadsheetml/2006/main" count="353" uniqueCount="195">
  <si>
    <t xml:space="preserve">Chỉ tiêu </t>
  </si>
  <si>
    <t xml:space="preserve">Đơn vị tính </t>
  </si>
  <si>
    <t>So sánh</t>
  </si>
  <si>
    <t>% so với cùng kỳ</t>
  </si>
  <si>
    <t>% so với kế hoạch</t>
  </si>
  <si>
    <t>A. Chỉ tiêu kinh tế</t>
  </si>
  <si>
    <t>1. Giá trị sản xuất (GO)</t>
  </si>
  <si>
    <t>1.1. Giá trị sản xuất (giá thực tế)</t>
  </si>
  <si>
    <t>Tr.đồng</t>
  </si>
  <si>
    <t>a) Công nghiệp - xây dựng</t>
  </si>
  <si>
    <t xml:space="preserve">  - Công nghiệp </t>
  </si>
  <si>
    <t xml:space="preserve">  - Xây dựng</t>
  </si>
  <si>
    <t>b) Nông, lâm, ngư nghiệp</t>
  </si>
  <si>
    <t xml:space="preserve">   - Nông  nghiệp</t>
  </si>
  <si>
    <t xml:space="preserve">   - Lâm nghiệp</t>
  </si>
  <si>
    <t xml:space="preserve">   - Ngư nghiệp</t>
  </si>
  <si>
    <t>c) Dịch vụ</t>
  </si>
  <si>
    <t>1.2. Giá trị sản xuất (giá cố định 2010)</t>
  </si>
  <si>
    <t xml:space="preserve"> - Công nghiệp - Xây dựng</t>
  </si>
  <si>
    <t xml:space="preserve"> Trong đó : - Công nghiệp </t>
  </si>
  <si>
    <t xml:space="preserve">                   - Xây dựng</t>
  </si>
  <si>
    <t>- Nông Lâm - Thủy Sản</t>
  </si>
  <si>
    <t xml:space="preserve">                   - Nông nghiệp</t>
  </si>
  <si>
    <t xml:space="preserve">                   - Lâm nghiệp</t>
  </si>
  <si>
    <t xml:space="preserve">                    - Thủy sản</t>
  </si>
  <si>
    <t xml:space="preserve"> - Dịch vụ</t>
  </si>
  <si>
    <t xml:space="preserve"> * Cơ cấu tổng sản phẩm</t>
  </si>
  <si>
    <t>%</t>
  </si>
  <si>
    <t xml:space="preserve">   - Công nghiệp - xây dựng</t>
  </si>
  <si>
    <t xml:space="preserve">   - Nông, lâm, ngư nghiệp</t>
  </si>
  <si>
    <t xml:space="preserve">   - Dịch vụ</t>
  </si>
  <si>
    <t>1.4. Tổng sản phẩm (giá 2010)</t>
  </si>
  <si>
    <t>a) Công nghiệp - xây dựng (VA)</t>
  </si>
  <si>
    <t>b) Nông, lâm, ngư nghiệp  (VA)</t>
  </si>
  <si>
    <t>c) Dịch Vụ  (VA)</t>
  </si>
  <si>
    <t>2. Thu, chi ngân sách</t>
  </si>
  <si>
    <t>2.1. Thu NSNN trên địa bàn</t>
  </si>
  <si>
    <t xml:space="preserve">Trong đó:  </t>
  </si>
  <si>
    <t xml:space="preserve">- Thu từ cấp quyền sử dụng đất </t>
  </si>
  <si>
    <t>- Thu ngoài quốc doanh</t>
  </si>
  <si>
    <t>- Thu các loại khác</t>
  </si>
  <si>
    <t>2.2. Thu bổ sung từ ngân sách tỉnh</t>
  </si>
  <si>
    <t>2.3. Tổng chi ngân sách địa phương</t>
  </si>
  <si>
    <t>a) Chi ĐTPT do địa phương quản lý</t>
  </si>
  <si>
    <t xml:space="preserve">       + Vốn cân đối Ngân sách địa phương </t>
  </si>
  <si>
    <t xml:space="preserve">Trong đó: Đầu tư từ nguồn sử dụng đất </t>
  </si>
  <si>
    <t xml:space="preserve">       + Chương trình mục tiêu quốc gia</t>
  </si>
  <si>
    <t xml:space="preserve">       + Nguồn ngân sách khác</t>
  </si>
  <si>
    <t>b) Chi thường xuyên</t>
  </si>
  <si>
    <t xml:space="preserve">       + Chi cho sự nghiệp giáo dục </t>
  </si>
  <si>
    <t xml:space="preserve">       + Chi cho QL hành chính Nhà nước</t>
  </si>
  <si>
    <t xml:space="preserve">       + Chi SN khác (VH, K.tế, chi khác)</t>
  </si>
  <si>
    <t xml:space="preserve">3. Tổng vốn đầu tư phát triển </t>
  </si>
  <si>
    <t xml:space="preserve">    - Trung ương quản lý</t>
  </si>
  <si>
    <t xml:space="preserve">    - Tỉnh quản lý</t>
  </si>
  <si>
    <t xml:space="preserve">    - Huyện quản lý</t>
  </si>
  <si>
    <t xml:space="preserve">    - Vốn DN và nhân dân </t>
  </si>
  <si>
    <t>B. Chỉ tiêu xã hội -Môi trường</t>
  </si>
  <si>
    <t xml:space="preserve"> 1. Dân số trung bình</t>
  </si>
  <si>
    <t>1000 người</t>
  </si>
  <si>
    <t xml:space="preserve">Trong đó: + Khu vực thành thị </t>
  </si>
  <si>
    <t xml:space="preserve">  + Khu vực nông thôn </t>
  </si>
  <si>
    <t xml:space="preserve">  - Dân tộc thiểu số</t>
  </si>
  <si>
    <t xml:space="preserve">  - Tỷ lệ dân cư đô thị </t>
  </si>
  <si>
    <t xml:space="preserve"> 2. Tổng số hộ</t>
  </si>
  <si>
    <t>Hộ</t>
  </si>
  <si>
    <t xml:space="preserve"> 3. Tỷ lệ tăng dân số tự nhiên</t>
  </si>
  <si>
    <t xml:space="preserve"> 4. Đào tạo lao động</t>
  </si>
  <si>
    <t>lao động</t>
  </si>
  <si>
    <t xml:space="preserve"> 5. Số lao động được giải quyết việc làm mới trong năm </t>
  </si>
  <si>
    <t>Người</t>
  </si>
  <si>
    <t xml:space="preserve"> 6. Tỷ lệ hộ nghèo theo chuẩn mới quốc gia</t>
  </si>
  <si>
    <t xml:space="preserve"> 7. Tỷ lệ trẻ em dưới 5 tuổi suy dinh dưỡng</t>
  </si>
  <si>
    <t xml:space="preserve"> 8. Tỷ lệ người dân tham gia BHYT</t>
  </si>
  <si>
    <t xml:space="preserve"> 9. Tỷ lệ hộ dùng nước sạch (nước an toàn)</t>
  </si>
  <si>
    <t xml:space="preserve"> 10. Tỷ lệ chất thải rắn sinh hoạt được thu gom, xử lý</t>
  </si>
  <si>
    <t xml:space="preserve"> 11. Tỷ lệ độ che phủ rừng</t>
  </si>
  <si>
    <t xml:space="preserve"> MỘT SỐ CHỈ TIÊU TỔNG HỢP KINH TẾ - XÃ HỘI </t>
  </si>
  <si>
    <t>PHỤ LỤC I</t>
  </si>
  <si>
    <t>CÁC SẢN PHẨM CHỦ YẾU</t>
  </si>
  <si>
    <t>PHỤ LỤC II</t>
  </si>
  <si>
    <t>10,7</t>
  </si>
  <si>
    <t>KH 
2020</t>
  </si>
  <si>
    <t>Ước TH năm 2020</t>
  </si>
  <si>
    <t>TH
2019</t>
  </si>
  <si>
    <t>Ước TH 2020/2019 (%)</t>
  </si>
  <si>
    <t>Thu nhập bình quân đầu người</t>
  </si>
  <si>
    <t>1.3. Tổng thu nhập phân theo nhóm ngành</t>
  </si>
  <si>
    <t>&lt;5</t>
  </si>
  <si>
    <t>Ước TH 6 tháng năm 2020</t>
  </si>
  <si>
    <t>Chỉ tiêu</t>
  </si>
  <si>
    <t>ĐVT</t>
  </si>
  <si>
    <t>Thực hiện năm 2019</t>
  </si>
  <si>
    <t>Năm 2020</t>
  </si>
  <si>
    <t>Ghi chú</t>
  </si>
  <si>
    <t>KH năm 2020</t>
  </si>
  <si>
    <t>% so KH</t>
  </si>
  <si>
    <t>Ước TH2020/         TH2019</t>
  </si>
  <si>
    <t>A. Nông, lâm, ngư nghiệp</t>
  </si>
  <si>
    <t>1. Nông nghiệp</t>
  </si>
  <si>
    <t>a. Sản lượng cây trồng</t>
  </si>
  <si>
    <t>- Sản lượng lương thực có hạt:</t>
  </si>
  <si>
    <t>tấn</t>
  </si>
  <si>
    <t>+ Riêng thóc</t>
  </si>
  <si>
    <t>+ Ngô</t>
  </si>
  <si>
    <t>- Lạc vỏ</t>
  </si>
  <si>
    <t>- Sắn</t>
  </si>
  <si>
    <t>- Cao su mủ tươi</t>
  </si>
  <si>
    <t>b. Diện tích một số cây chủ yếu</t>
  </si>
  <si>
    <t>* Tổng DT gieo trồng cây hàng năm</t>
  </si>
  <si>
    <t>ha</t>
  </si>
  <si>
    <t>- Lúa cả năm</t>
  </si>
  <si>
    <t>+ Vụ Đông xuân</t>
  </si>
  <si>
    <t>+ Vụ Hè thu</t>
  </si>
  <si>
    <t>- Ngô</t>
  </si>
  <si>
    <t>+ Trong đó sắn công nghiệp</t>
  </si>
  <si>
    <t>- Khoai lang</t>
  </si>
  <si>
    <t>- Đậu các loại</t>
  </si>
  <si>
    <t>- Rau các loại</t>
  </si>
  <si>
    <t>- Cây lấy bột khác</t>
  </si>
  <si>
    <t>- Cây Mía</t>
  </si>
  <si>
    <t>- Cao su</t>
  </si>
  <si>
    <t>+ Trong đó trồng mới</t>
  </si>
  <si>
    <t>- Cây làm thức ăn gia súc</t>
  </si>
  <si>
    <t>* Số km kênh mương được kiên cố</t>
  </si>
  <si>
    <t>km</t>
  </si>
  <si>
    <t>3,4 km lam them</t>
  </si>
  <si>
    <t>c. Giá trị thu nhập chủ yếu</t>
  </si>
  <si>
    <t>- Giá trị thu nhập trên ha canh tác</t>
  </si>
  <si>
    <t>- Giá trị thu nhập trên 1ha vườn</t>
  </si>
  <si>
    <t>- Giá trị thu hoạch trên 1hacao su</t>
  </si>
  <si>
    <t>2. Chăn nuôi</t>
  </si>
  <si>
    <t>- Đàn trâu</t>
  </si>
  <si>
    <t>con</t>
  </si>
  <si>
    <t>- Đàn bò</t>
  </si>
  <si>
    <t>Trong đó: Đàn bò lai</t>
  </si>
  <si>
    <t>- Đàn lợn</t>
  </si>
  <si>
    <t>con/năm</t>
  </si>
  <si>
    <t>Tr.đó: - Đàn lợn có mặt tại thời điểm</t>
  </si>
  <si>
    <t xml:space="preserve"> Thiếu giết mổ</t>
  </si>
  <si>
    <t>- Đàn lợn nái sinh sản</t>
  </si>
  <si>
    <t>- Đàn gia cầm</t>
  </si>
  <si>
    <t>- Đàn ong</t>
  </si>
  <si>
    <t>đàn</t>
  </si>
  <si>
    <t>+ Sản lượng mật</t>
  </si>
  <si>
    <t>3. Lâm nghiệp</t>
  </si>
  <si>
    <t>- Tổng diện tích rừng hiện có</t>
  </si>
  <si>
    <t>- Diện tích rừng trồng</t>
  </si>
  <si>
    <t>+ Trong đó trồng mới rừng</t>
  </si>
  <si>
    <t>- Trồng cây phân tán</t>
  </si>
  <si>
    <t>1.000 cây</t>
  </si>
  <si>
    <t>- Chăm sóc rừng</t>
  </si>
  <si>
    <t>+ Trong đó: rừng trồng</t>
  </si>
  <si>
    <t>rừng tự nhiên</t>
  </si>
  <si>
    <t>- Khoanh nuôi tái sinh</t>
  </si>
  <si>
    <t>+ Trong đó: rừng tự nhiên đã giao</t>
  </si>
  <si>
    <t>rừng của các tổ chức</t>
  </si>
  <si>
    <t>- Quản lý bảo vệ rừng</t>
  </si>
  <si>
    <t>- Làm giàu rừng (rừng đã giao cho CĐ)</t>
  </si>
  <si>
    <t>- Quản lý rừng cộng đồng, hộ gia đình</t>
  </si>
  <si>
    <t>- Sản lượng khai thác gỗ</t>
  </si>
  <si>
    <r>
      <t>1.000 m</t>
    </r>
    <r>
      <rPr>
        <vertAlign val="superscript"/>
        <sz val="12"/>
        <rFont val="Times New Roman"/>
        <family val="1"/>
      </rPr>
      <t>3</t>
    </r>
  </si>
  <si>
    <t>Trong đó: + Gỗ rừng tự nhiên:</t>
  </si>
  <si>
    <t xml:space="preserve">   + Gỗ rừng trồng:</t>
  </si>
  <si>
    <t>- G/trị thu hoạch 1ha rừng trồng/chu kỳ</t>
  </si>
  <si>
    <t>Tr. đồng</t>
  </si>
  <si>
    <t>- Tỷ lệ che phủ rừng</t>
  </si>
  <si>
    <t>4. Thủy hải sản</t>
  </si>
  <si>
    <t>- Diện tích nuôi trồng thủy hải sản</t>
  </si>
  <si>
    <t>Trong đó: + Nuôi nước ngọt</t>
  </si>
  <si>
    <t>+ Nuôi lồng:</t>
  </si>
  <si>
    <r>
      <t>m</t>
    </r>
    <r>
      <rPr>
        <vertAlign val="superscript"/>
        <sz val="12"/>
        <rFont val="Times New Roman"/>
        <family val="1"/>
      </rPr>
      <t>3</t>
    </r>
  </si>
  <si>
    <t>- Sản lượng đánh bắt thủy hải sản</t>
  </si>
  <si>
    <t>+ Sông đầm (ao hồ)</t>
  </si>
  <si>
    <t>- Sản lượng nuôi trồng</t>
  </si>
  <si>
    <t>+ Nuôi nước ngọt</t>
  </si>
  <si>
    <t>- Giá trị thu hoạch/ha DT canh tác TS</t>
  </si>
  <si>
    <t>5. Môi trường</t>
  </si>
  <si>
    <t>- Tỷ lệ hộ SD nước sạch (nước an toàn)</t>
  </si>
  <si>
    <t>Trong đó: Thị trấn Khe Tre</t>
  </si>
  <si>
    <t>Xã Hương Phú</t>
  </si>
  <si>
    <t>Xã Hương Lộc</t>
  </si>
  <si>
    <t>Xã Thượng Lộ</t>
  </si>
  <si>
    <t>Xã Hương Hòa</t>
  </si>
  <si>
    <t>Xã Hương Giang</t>
  </si>
  <si>
    <t>Xã Hương Sơn</t>
  </si>
  <si>
    <t>Xã Thượng Nhật</t>
  </si>
  <si>
    <t>Xã Hương Hữu</t>
  </si>
  <si>
    <t>Xã Thượng Long</t>
  </si>
  <si>
    <t>Xã Thượng Quảng</t>
  </si>
  <si>
    <t>- Tỷ lệ hộ nông thôn SD nước HVS</t>
  </si>
  <si>
    <t>(Kèm theo Báo cáo số:           /BC-UBND ngày          tháng 6 năm 2020 của UBND huyện Nam Đông)</t>
  </si>
  <si>
    <t>TH 6 tháng năm 2019</t>
  </si>
  <si>
    <t>&lt;10</t>
  </si>
  <si>
    <t>(Kèm theo Báo cáo số:     272      /BC-UBND ngày   29       tháng 6 năm 2020 của UBND huyện Nam Đông)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</si>
</sst>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₫_-;\-* #,##0.00\ _₫_-;_-* &quot;-&quot;??\ _₫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.0_);_(* \(#,##0.0\);_(* &quot;-&quot;??_);_(@_)"/>
    <numFmt numFmtId="167" formatCode="_(* #,##0_);_(* \(#,##0\);_(* &quot;-&quot;??_);_(@_)"/>
    <numFmt numFmtId="168" formatCode="0.00;[Red]0.00"/>
    <numFmt numFmtId="169" formatCode="#,##0;[Red]#,##0"/>
    <numFmt numFmtId="170" formatCode="#,##0.0"/>
    <numFmt numFmtId="171" formatCode="_-* #,##0_-;\-* #,##0_-;_-* \-??_-;_-@_-"/>
    <numFmt numFmtId="172" formatCode="_(* #,##0.000_);_(* \(#,##0.000\);_(* &quot;-&quot;??_);_(@_)"/>
    <numFmt numFmtId="173" formatCode="_-* #,##0_-;\-* #,##0_-;_-* &quot;-&quot;??_-;_-@_-"/>
    <numFmt numFmtId="174" formatCode="#,##0.0;[Red]#,##0.0"/>
    <numFmt numFmtId="175" formatCode="#,##0.00;[Red]#,##0.00"/>
    <numFmt numFmtId="176" formatCode="_-* #,##0.0_-;\-* #,##0.0_-;_-* &quot;-&quot;??_-;_-@_-"/>
    <numFmt numFmtId="177" formatCode="_(* #,##0.000_);_(* \(#,##0.000\);_(* &quot;-&quot;???_);_(@_)"/>
    <numFmt numFmtId="178" formatCode="#.##;[Red]#.##"/>
    <numFmt numFmtId="179" formatCode="0.0"/>
    <numFmt numFmtId="180" formatCode="0.000"/>
    <numFmt numFmtId="181" formatCode="_-* #,##0.00_-;\-* #,##0.00_-;_-* \-??_-;_-@_-"/>
    <numFmt numFmtId="182" formatCode="#.00;[Red]#.00"/>
    <numFmt numFmtId="183" formatCode="_(* #,##0.0_);_(* \(#,##0.0\);_(* &quot;-&quot;?_);_(@_)"/>
  </numFmts>
  <fonts count="23" x14ac:knownFonts="1">
    <font>
      <sz val="11"/>
      <color theme="1"/>
      <name val="Arial"/>
      <family val="2"/>
      <scheme val="minor"/>
    </font>
    <font>
      <b/>
      <sz val="14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Arial"/>
      <family val="2"/>
      <scheme val="minor"/>
    </font>
    <font>
      <i/>
      <sz val="13"/>
      <name val="Times New Roman"/>
      <family val="1"/>
    </font>
    <font>
      <sz val="11"/>
      <name val="Times New Roman"/>
      <family val="1"/>
    </font>
    <font>
      <b/>
      <sz val="12"/>
      <color theme="5"/>
      <name val="Times New Roman"/>
      <family val="1"/>
    </font>
    <font>
      <sz val="12"/>
      <color theme="5"/>
      <name val="Times New Roman"/>
      <family val="1"/>
    </font>
    <font>
      <b/>
      <i/>
      <sz val="12"/>
      <color theme="5"/>
      <name val="Times New Roman"/>
      <family val="1"/>
    </font>
    <font>
      <sz val="12"/>
      <color rgb="FF002060"/>
      <name val="Times New Roman"/>
      <family val="1"/>
    </font>
    <font>
      <b/>
      <sz val="11"/>
      <name val="Times New Roman"/>
      <family val="1"/>
    </font>
    <font>
      <sz val="12"/>
      <color rgb="FFFF0000"/>
      <name val="Times New Roman"/>
      <family val="1"/>
    </font>
    <font>
      <sz val="9"/>
      <name val="Times New Roman"/>
      <family val="1"/>
    </font>
    <font>
      <vertAlign val="superscript"/>
      <sz val="12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</borders>
  <cellStyleXfs count="13">
    <xf numFmtId="0" fontId="0" fillId="0" borderId="0"/>
    <xf numFmtId="165" fontId="4" fillId="0" borderId="0" applyFont="0" applyFill="0" applyBorder="0" applyAlignment="0" applyProtection="0"/>
    <xf numFmtId="0" fontId="2" fillId="0" borderId="0"/>
    <xf numFmtId="1" fontId="2" fillId="0" borderId="0"/>
    <xf numFmtId="165" fontId="4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353">
    <xf numFmtId="0" fontId="0" fillId="0" borderId="0" xfId="0"/>
    <xf numFmtId="49" fontId="6" fillId="0" borderId="9" xfId="0" applyNumberFormat="1" applyFont="1" applyFill="1" applyBorder="1" applyAlignment="1">
      <alignment horizontal="left"/>
    </xf>
    <xf numFmtId="0" fontId="5" fillId="0" borderId="10" xfId="0" applyFont="1" applyFill="1" applyBorder="1"/>
    <xf numFmtId="0" fontId="6" fillId="0" borderId="10" xfId="0" applyFont="1" applyFill="1" applyBorder="1" applyAlignment="1">
      <alignment horizontal="center"/>
    </xf>
    <xf numFmtId="168" fontId="5" fillId="0" borderId="10" xfId="0" applyNumberFormat="1" applyFont="1" applyFill="1" applyBorder="1"/>
    <xf numFmtId="49" fontId="6" fillId="0" borderId="12" xfId="0" applyNumberFormat="1" applyFont="1" applyFill="1" applyBorder="1" applyAlignment="1">
      <alignment horizontal="left"/>
    </xf>
    <xf numFmtId="0" fontId="5" fillId="0" borderId="13" xfId="0" applyFont="1" applyFill="1" applyBorder="1"/>
    <xf numFmtId="167" fontId="6" fillId="0" borderId="13" xfId="1" applyNumberFormat="1" applyFont="1" applyFill="1" applyBorder="1" applyAlignment="1">
      <alignment horizontal="center"/>
    </xf>
    <xf numFmtId="167" fontId="6" fillId="0" borderId="13" xfId="1" applyNumberFormat="1" applyFont="1" applyFill="1" applyBorder="1" applyAlignment="1">
      <alignment horizontal="right"/>
    </xf>
    <xf numFmtId="168" fontId="5" fillId="0" borderId="13" xfId="0" applyNumberFormat="1" applyFont="1" applyFill="1" applyBorder="1"/>
    <xf numFmtId="49" fontId="6" fillId="0" borderId="12" xfId="0" applyNumberFormat="1" applyFont="1" applyFill="1" applyBorder="1"/>
    <xf numFmtId="0" fontId="6" fillId="0" borderId="13" xfId="0" applyFont="1" applyFill="1" applyBorder="1" applyAlignment="1">
      <alignment horizontal="center"/>
    </xf>
    <xf numFmtId="169" fontId="6" fillId="0" borderId="13" xfId="4" applyNumberFormat="1" applyFont="1" applyFill="1" applyBorder="1" applyAlignment="1">
      <alignment horizontal="right"/>
    </xf>
    <xf numFmtId="166" fontId="6" fillId="0" borderId="13" xfId="1" applyNumberFormat="1" applyFont="1" applyFill="1" applyBorder="1"/>
    <xf numFmtId="49" fontId="7" fillId="0" borderId="12" xfId="0" applyNumberFormat="1" applyFont="1" applyFill="1" applyBorder="1" applyAlignment="1">
      <alignment horizontal="left" indent="5"/>
    </xf>
    <xf numFmtId="0" fontId="7" fillId="0" borderId="13" xfId="0" applyFont="1" applyFill="1" applyBorder="1" applyAlignment="1">
      <alignment horizontal="center"/>
    </xf>
    <xf numFmtId="169" fontId="5" fillId="0" borderId="13" xfId="4" applyNumberFormat="1" applyFont="1" applyFill="1" applyBorder="1" applyAlignment="1">
      <alignment horizontal="right"/>
    </xf>
    <xf numFmtId="169" fontId="7" fillId="0" borderId="13" xfId="1" applyNumberFormat="1" applyFont="1" applyFill="1" applyBorder="1" applyAlignment="1">
      <alignment horizontal="right"/>
    </xf>
    <xf numFmtId="169" fontId="6" fillId="0" borderId="13" xfId="0" applyNumberFormat="1" applyFont="1" applyFill="1" applyBorder="1" applyAlignment="1">
      <alignment horizontal="right"/>
    </xf>
    <xf numFmtId="169" fontId="5" fillId="0" borderId="13" xfId="4" applyNumberFormat="1" applyFont="1" applyFill="1" applyBorder="1" applyAlignment="1" applyProtection="1">
      <alignment horizontal="right" vertical="center"/>
    </xf>
    <xf numFmtId="166" fontId="5" fillId="0" borderId="13" xfId="1" applyNumberFormat="1" applyFont="1" applyFill="1" applyBorder="1"/>
    <xf numFmtId="49" fontId="6" fillId="0" borderId="12" xfId="0" applyNumberFormat="1" applyFont="1" applyFill="1" applyBorder="1" applyAlignment="1"/>
    <xf numFmtId="49" fontId="7" fillId="0" borderId="12" xfId="0" applyNumberFormat="1" applyFont="1" applyFill="1" applyBorder="1" applyAlignment="1"/>
    <xf numFmtId="167" fontId="6" fillId="0" borderId="12" xfId="1" applyNumberFormat="1" applyFont="1" applyFill="1" applyBorder="1" applyAlignment="1"/>
    <xf numFmtId="165" fontId="5" fillId="0" borderId="14" xfId="1" applyFont="1" applyFill="1" applyBorder="1"/>
    <xf numFmtId="49" fontId="5" fillId="0" borderId="12" xfId="0" applyNumberFormat="1" applyFont="1" applyFill="1" applyBorder="1" applyAlignment="1"/>
    <xf numFmtId="49" fontId="7" fillId="0" borderId="12" xfId="0" applyNumberFormat="1" applyFont="1" applyFill="1" applyBorder="1"/>
    <xf numFmtId="9" fontId="5" fillId="0" borderId="14" xfId="0" applyNumberFormat="1" applyFont="1" applyFill="1" applyBorder="1"/>
    <xf numFmtId="49" fontId="5" fillId="0" borderId="12" xfId="0" quotePrefix="1" applyNumberFormat="1" applyFont="1" applyFill="1" applyBorder="1" applyAlignment="1">
      <alignment horizontal="left" indent="1"/>
    </xf>
    <xf numFmtId="0" fontId="5" fillId="0" borderId="13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left" indent="1"/>
    </xf>
    <xf numFmtId="49" fontId="5" fillId="0" borderId="12" xfId="0" applyNumberFormat="1" applyFont="1" applyFill="1" applyBorder="1"/>
    <xf numFmtId="0" fontId="5" fillId="0" borderId="12" xfId="0" applyFont="1" applyFill="1" applyBorder="1"/>
    <xf numFmtId="169" fontId="6" fillId="0" borderId="13" xfId="1" applyNumberFormat="1" applyFont="1" applyFill="1" applyBorder="1" applyAlignment="1">
      <alignment horizontal="right"/>
    </xf>
    <xf numFmtId="169" fontId="5" fillId="0" borderId="13" xfId="1" applyNumberFormat="1" applyFont="1" applyFill="1" applyBorder="1" applyAlignment="1">
      <alignment horizontal="right"/>
    </xf>
    <xf numFmtId="169" fontId="5" fillId="0" borderId="13" xfId="1" applyNumberFormat="1" applyFont="1" applyFill="1" applyBorder="1" applyAlignment="1" applyProtection="1">
      <alignment horizontal="right" vertical="center"/>
    </xf>
    <xf numFmtId="0" fontId="7" fillId="0" borderId="14" xfId="0" applyFont="1" applyFill="1" applyBorder="1"/>
    <xf numFmtId="49" fontId="5" fillId="0" borderId="12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49" fontId="5" fillId="0" borderId="15" xfId="0" applyNumberFormat="1" applyFont="1" applyFill="1" applyBorder="1"/>
    <xf numFmtId="0" fontId="5" fillId="0" borderId="16" xfId="0" applyFont="1" applyFill="1" applyBorder="1" applyAlignment="1">
      <alignment horizontal="center"/>
    </xf>
    <xf numFmtId="1" fontId="6" fillId="0" borderId="20" xfId="3" applyFont="1" applyFill="1" applyBorder="1" applyAlignment="1">
      <alignment horizontal="center" vertical="center" wrapText="1"/>
    </xf>
    <xf numFmtId="0" fontId="6" fillId="0" borderId="20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/>
    </xf>
    <xf numFmtId="166" fontId="5" fillId="2" borderId="13" xfId="1" applyNumberFormat="1" applyFont="1" applyFill="1" applyBorder="1"/>
    <xf numFmtId="0" fontId="6" fillId="2" borderId="13" xfId="0" applyFont="1" applyFill="1" applyBorder="1" applyAlignment="1">
      <alignment horizontal="center"/>
    </xf>
    <xf numFmtId="166" fontId="6" fillId="2" borderId="13" xfId="1" applyNumberFormat="1" applyFont="1" applyFill="1" applyBorder="1"/>
    <xf numFmtId="169" fontId="6" fillId="2" borderId="13" xfId="1" applyNumberFormat="1" applyFont="1" applyFill="1" applyBorder="1" applyAlignment="1"/>
    <xf numFmtId="169" fontId="6" fillId="2" borderId="13" xfId="0" applyNumberFormat="1" applyFont="1" applyFill="1" applyBorder="1" applyAlignment="1">
      <alignment horizontal="right"/>
    </xf>
    <xf numFmtId="172" fontId="6" fillId="2" borderId="13" xfId="1" applyNumberFormat="1" applyFont="1" applyFill="1" applyBorder="1" applyAlignment="1">
      <alignment horizontal="right"/>
    </xf>
    <xf numFmtId="9" fontId="5" fillId="2" borderId="13" xfId="0" applyNumberFormat="1" applyFont="1" applyFill="1" applyBorder="1"/>
    <xf numFmtId="172" fontId="5" fillId="2" borderId="13" xfId="1" applyNumberFormat="1" applyFont="1" applyFill="1" applyBorder="1"/>
    <xf numFmtId="173" fontId="7" fillId="2" borderId="13" xfId="1" applyNumberFormat="1" applyFont="1" applyFill="1" applyBorder="1" applyAlignment="1">
      <alignment horizontal="center" vertical="center" wrapText="1"/>
    </xf>
    <xf numFmtId="169" fontId="7" fillId="2" borderId="13" xfId="1" applyNumberFormat="1" applyFont="1" applyFill="1" applyBorder="1" applyAlignment="1" applyProtection="1">
      <alignment horizontal="right" vertical="center"/>
    </xf>
    <xf numFmtId="168" fontId="7" fillId="2" borderId="13" xfId="0" applyNumberFormat="1" applyFont="1" applyFill="1" applyBorder="1"/>
    <xf numFmtId="172" fontId="7" fillId="2" borderId="13" xfId="1" applyNumberFormat="1" applyFont="1" applyFill="1" applyBorder="1"/>
    <xf numFmtId="165" fontId="7" fillId="2" borderId="13" xfId="1" applyFont="1" applyFill="1" applyBorder="1" applyAlignment="1" applyProtection="1">
      <alignment horizontal="center" vertical="center"/>
    </xf>
    <xf numFmtId="169" fontId="6" fillId="2" borderId="13" xfId="1" applyNumberFormat="1" applyFont="1" applyFill="1" applyBorder="1" applyAlignment="1" applyProtection="1">
      <alignment horizontal="right" vertical="center"/>
    </xf>
    <xf numFmtId="167" fontId="6" fillId="2" borderId="13" xfId="1" applyNumberFormat="1" applyFont="1" applyFill="1" applyBorder="1" applyAlignment="1" applyProtection="1">
      <alignment horizontal="center" vertical="center"/>
    </xf>
    <xf numFmtId="165" fontId="6" fillId="2" borderId="13" xfId="1" applyFont="1" applyFill="1" applyBorder="1" applyAlignment="1" applyProtection="1">
      <alignment horizontal="center" vertical="center"/>
    </xf>
    <xf numFmtId="169" fontId="7" fillId="2" borderId="13" xfId="1" applyNumberFormat="1" applyFont="1" applyFill="1" applyBorder="1" applyAlignment="1" applyProtection="1">
      <alignment horizontal="right" vertical="center" wrapText="1"/>
    </xf>
    <xf numFmtId="165" fontId="7" fillId="2" borderId="13" xfId="1" applyFont="1" applyFill="1" applyBorder="1" applyAlignment="1" applyProtection="1">
      <alignment horizontal="right" vertical="center" wrapText="1"/>
    </xf>
    <xf numFmtId="171" fontId="7" fillId="2" borderId="13" xfId="1" applyNumberFormat="1" applyFont="1" applyFill="1" applyBorder="1" applyAlignment="1" applyProtection="1">
      <alignment horizontal="center" vertical="center"/>
    </xf>
    <xf numFmtId="173" fontId="6" fillId="2" borderId="13" xfId="1" applyNumberFormat="1" applyFont="1" applyFill="1" applyBorder="1" applyAlignment="1">
      <alignment horizontal="center" vertical="center" wrapText="1"/>
    </xf>
    <xf numFmtId="171" fontId="6" fillId="2" borderId="13" xfId="1" applyNumberFormat="1" applyFont="1" applyFill="1" applyBorder="1" applyAlignment="1" applyProtection="1">
      <alignment horizontal="center" vertical="center"/>
    </xf>
    <xf numFmtId="165" fontId="5" fillId="2" borderId="13" xfId="1" applyFont="1" applyFill="1" applyBorder="1"/>
    <xf numFmtId="3" fontId="5" fillId="2" borderId="13" xfId="0" applyNumberFormat="1" applyFont="1" applyFill="1" applyBorder="1" applyAlignment="1">
      <alignment horizontal="center"/>
    </xf>
    <xf numFmtId="166" fontId="6" fillId="2" borderId="13" xfId="4" applyNumberFormat="1" applyFont="1" applyFill="1" applyBorder="1" applyAlignment="1">
      <alignment horizontal="right"/>
    </xf>
    <xf numFmtId="174" fontId="6" fillId="2" borderId="13" xfId="1" applyNumberFormat="1" applyFont="1" applyFill="1" applyBorder="1" applyAlignment="1">
      <alignment horizontal="right"/>
    </xf>
    <xf numFmtId="4" fontId="5" fillId="2" borderId="13" xfId="0" applyNumberFormat="1" applyFont="1" applyFill="1" applyBorder="1" applyAlignment="1">
      <alignment horizontal="center"/>
    </xf>
    <xf numFmtId="166" fontId="5" fillId="2" borderId="13" xfId="4" applyNumberFormat="1" applyFont="1" applyFill="1" applyBorder="1" applyAlignment="1">
      <alignment horizontal="right"/>
    </xf>
    <xf numFmtId="175" fontId="5" fillId="2" borderId="13" xfId="1" applyNumberFormat="1" applyFont="1" applyFill="1" applyBorder="1" applyAlignment="1">
      <alignment horizontal="right"/>
    </xf>
    <xf numFmtId="167" fontId="5" fillId="2" borderId="13" xfId="0" applyNumberFormat="1" applyFont="1" applyFill="1" applyBorder="1"/>
    <xf numFmtId="173" fontId="6" fillId="2" borderId="13" xfId="1" applyNumberFormat="1" applyFont="1" applyFill="1" applyBorder="1" applyAlignment="1">
      <alignment horizontal="center"/>
    </xf>
    <xf numFmtId="167" fontId="6" fillId="2" borderId="13" xfId="1" applyNumberFormat="1" applyFont="1" applyFill="1" applyBorder="1"/>
    <xf numFmtId="167" fontId="6" fillId="2" borderId="13" xfId="1" applyNumberFormat="1" applyFont="1" applyFill="1" applyBorder="1" applyAlignment="1">
      <alignment horizontal="right"/>
    </xf>
    <xf numFmtId="168" fontId="5" fillId="0" borderId="11" xfId="0" applyNumberFormat="1" applyFont="1" applyFill="1" applyBorder="1"/>
    <xf numFmtId="168" fontId="5" fillId="0" borderId="14" xfId="0" applyNumberFormat="1" applyFont="1" applyFill="1" applyBorder="1"/>
    <xf numFmtId="166" fontId="6" fillId="0" borderId="14" xfId="1" applyNumberFormat="1" applyFont="1" applyFill="1" applyBorder="1"/>
    <xf numFmtId="166" fontId="5" fillId="0" borderId="14" xfId="1" applyNumberFormat="1" applyFont="1" applyFill="1" applyBorder="1"/>
    <xf numFmtId="168" fontId="7" fillId="0" borderId="14" xfId="0" applyNumberFormat="1" applyFont="1" applyFill="1" applyBorder="1"/>
    <xf numFmtId="165" fontId="7" fillId="0" borderId="14" xfId="1" applyFont="1" applyFill="1" applyBorder="1" applyAlignment="1" applyProtection="1">
      <alignment horizontal="center" vertical="center"/>
    </xf>
    <xf numFmtId="165" fontId="7" fillId="0" borderId="14" xfId="1" applyFont="1" applyFill="1" applyBorder="1" applyAlignment="1" applyProtection="1">
      <alignment horizontal="right" vertical="center" wrapText="1"/>
    </xf>
    <xf numFmtId="171" fontId="7" fillId="0" borderId="14" xfId="1" applyNumberFormat="1" applyFont="1" applyFill="1" applyBorder="1" applyAlignment="1" applyProtection="1">
      <alignment horizontal="center" vertical="center"/>
    </xf>
    <xf numFmtId="171" fontId="6" fillId="0" borderId="14" xfId="1" applyNumberFormat="1" applyFont="1" applyFill="1" applyBorder="1" applyAlignment="1" applyProtection="1">
      <alignment horizontal="center" vertical="center"/>
    </xf>
    <xf numFmtId="165" fontId="3" fillId="0" borderId="14" xfId="1" applyFont="1" applyFill="1" applyBorder="1"/>
    <xf numFmtId="49" fontId="7" fillId="0" borderId="12" xfId="0" applyNumberFormat="1" applyFont="1" applyFill="1" applyBorder="1" applyAlignment="1">
      <alignment horizontal="left" indent="1"/>
    </xf>
    <xf numFmtId="0" fontId="6" fillId="0" borderId="8" xfId="2" applyFont="1" applyFill="1" applyBorder="1" applyAlignment="1">
      <alignment horizontal="center" vertical="center" wrapText="1"/>
    </xf>
    <xf numFmtId="169" fontId="7" fillId="0" borderId="13" xfId="1" applyNumberFormat="1" applyFont="1" applyFill="1" applyBorder="1" applyAlignment="1" applyProtection="1">
      <alignment vertical="center"/>
    </xf>
    <xf numFmtId="169" fontId="7" fillId="0" borderId="13" xfId="1" applyNumberFormat="1" applyFont="1" applyFill="1" applyBorder="1" applyAlignment="1">
      <alignment vertical="center"/>
    </xf>
    <xf numFmtId="169" fontId="5" fillId="0" borderId="24" xfId="1" applyNumberFormat="1" applyFont="1" applyFill="1" applyBorder="1" applyAlignment="1"/>
    <xf numFmtId="169" fontId="6" fillId="0" borderId="24" xfId="1" applyNumberFormat="1" applyFont="1" applyFill="1" applyBorder="1" applyAlignment="1"/>
    <xf numFmtId="169" fontId="6" fillId="0" borderId="13" xfId="1" applyNumberFormat="1" applyFont="1" applyFill="1" applyBorder="1" applyAlignment="1">
      <alignment vertical="center"/>
    </xf>
    <xf numFmtId="166" fontId="11" fillId="0" borderId="14" xfId="1" applyNumberFormat="1" applyFont="1" applyFill="1" applyBorder="1"/>
    <xf numFmtId="175" fontId="13" fillId="0" borderId="14" xfId="1" applyNumberFormat="1" applyFont="1" applyFill="1" applyBorder="1" applyAlignment="1">
      <alignment horizontal="right"/>
    </xf>
    <xf numFmtId="166" fontId="12" fillId="0" borderId="13" xfId="1" applyNumberFormat="1" applyFont="1" applyFill="1" applyBorder="1"/>
    <xf numFmtId="166" fontId="12" fillId="0" borderId="14" xfId="1" applyNumberFormat="1" applyFont="1" applyFill="1" applyBorder="1"/>
    <xf numFmtId="166" fontId="11" fillId="0" borderId="13" xfId="1" applyNumberFormat="1" applyFont="1" applyFill="1" applyBorder="1"/>
    <xf numFmtId="167" fontId="12" fillId="0" borderId="13" xfId="1" applyNumberFormat="1" applyFont="1" applyFill="1" applyBorder="1"/>
    <xf numFmtId="165" fontId="13" fillId="0" borderId="14" xfId="1" applyFont="1" applyFill="1" applyBorder="1"/>
    <xf numFmtId="165" fontId="12" fillId="0" borderId="13" xfId="1" applyFont="1" applyFill="1" applyBorder="1"/>
    <xf numFmtId="176" fontId="12" fillId="2" borderId="13" xfId="0" applyNumberFormat="1" applyFont="1" applyFill="1" applyBorder="1" applyAlignment="1">
      <alignment horizontal="right"/>
    </xf>
    <xf numFmtId="0" fontId="12" fillId="0" borderId="14" xfId="0" applyFont="1" applyFill="1" applyBorder="1"/>
    <xf numFmtId="0" fontId="12" fillId="2" borderId="13" xfId="0" applyFont="1" applyFill="1" applyBorder="1" applyAlignment="1">
      <alignment horizontal="right"/>
    </xf>
    <xf numFmtId="177" fontId="12" fillId="0" borderId="14" xfId="0" applyNumberFormat="1" applyFont="1" applyFill="1" applyBorder="1"/>
    <xf numFmtId="177" fontId="12" fillId="2" borderId="13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 horizontal="right"/>
    </xf>
    <xf numFmtId="0" fontId="12" fillId="0" borderId="16" xfId="0" applyFont="1" applyFill="1" applyBorder="1" applyAlignment="1">
      <alignment horizontal="right"/>
    </xf>
    <xf numFmtId="0" fontId="12" fillId="0" borderId="17" xfId="0" applyFont="1" applyFill="1" applyBorder="1"/>
    <xf numFmtId="0" fontId="14" fillId="2" borderId="13" xfId="0" applyFont="1" applyFill="1" applyBorder="1" applyAlignment="1">
      <alignment horizontal="right"/>
    </xf>
    <xf numFmtId="166" fontId="14" fillId="2" borderId="13" xfId="1" applyNumberFormat="1" applyFont="1" applyFill="1" applyBorder="1"/>
    <xf numFmtId="0" fontId="10" fillId="0" borderId="0" xfId="0" applyFont="1"/>
    <xf numFmtId="0" fontId="10" fillId="0" borderId="0" xfId="0" applyFont="1" applyFill="1"/>
    <xf numFmtId="169" fontId="10" fillId="0" borderId="0" xfId="0" applyNumberFormat="1" applyFont="1"/>
    <xf numFmtId="176" fontId="6" fillId="2" borderId="13" xfId="1" applyNumberFormat="1" applyFont="1" applyFill="1" applyBorder="1" applyAlignment="1">
      <alignment horizontal="center" vertical="center" wrapText="1"/>
    </xf>
    <xf numFmtId="174" fontId="6" fillId="2" borderId="13" xfId="1" applyNumberFormat="1" applyFont="1" applyFill="1" applyBorder="1" applyAlignment="1" applyProtection="1">
      <alignment horizontal="right" vertical="center"/>
    </xf>
    <xf numFmtId="169" fontId="6" fillId="2" borderId="25" xfId="0" applyNumberFormat="1" applyFont="1" applyFill="1" applyBorder="1" applyAlignment="1">
      <alignment vertical="center"/>
    </xf>
    <xf numFmtId="169" fontId="3" fillId="2" borderId="25" xfId="0" applyNumberFormat="1" applyFont="1" applyFill="1" applyBorder="1" applyAlignment="1">
      <alignment vertical="center"/>
    </xf>
    <xf numFmtId="169" fontId="5" fillId="2" borderId="25" xfId="0" applyNumberFormat="1" applyFont="1" applyFill="1" applyBorder="1" applyAlignment="1">
      <alignment vertical="center"/>
    </xf>
    <xf numFmtId="180" fontId="10" fillId="0" borderId="0" xfId="0" applyNumberFormat="1" applyFont="1"/>
    <xf numFmtId="179" fontId="10" fillId="0" borderId="0" xfId="0" applyNumberFormat="1" applyFont="1"/>
    <xf numFmtId="181" fontId="6" fillId="2" borderId="13" xfId="1" applyNumberFormat="1" applyFont="1" applyFill="1" applyBorder="1" applyAlignment="1" applyProtection="1">
      <alignment horizontal="center" vertical="center"/>
    </xf>
    <xf numFmtId="175" fontId="10" fillId="0" borderId="0" xfId="0" applyNumberFormat="1" applyFont="1"/>
    <xf numFmtId="43" fontId="5" fillId="2" borderId="13" xfId="6" applyFont="1" applyFill="1" applyBorder="1"/>
    <xf numFmtId="169" fontId="7" fillId="2" borderId="13" xfId="4" applyNumberFormat="1" applyFont="1" applyFill="1" applyBorder="1" applyAlignment="1">
      <alignment horizontal="right"/>
    </xf>
    <xf numFmtId="3" fontId="6" fillId="2" borderId="13" xfId="4" applyNumberFormat="1" applyFont="1" applyFill="1" applyBorder="1" applyAlignment="1">
      <alignment horizontal="right"/>
    </xf>
    <xf numFmtId="0" fontId="6" fillId="0" borderId="8" xfId="2" applyFont="1" applyFill="1" applyBorder="1" applyAlignment="1">
      <alignment horizontal="center" vertical="center" wrapText="1"/>
    </xf>
    <xf numFmtId="169" fontId="6" fillId="0" borderId="13" xfId="1" applyNumberFormat="1" applyFont="1" applyFill="1" applyBorder="1" applyAlignment="1" applyProtection="1">
      <alignment vertical="center"/>
    </xf>
    <xf numFmtId="0" fontId="6" fillId="0" borderId="13" xfId="0" applyFont="1" applyFill="1" applyBorder="1"/>
    <xf numFmtId="3" fontId="6" fillId="0" borderId="24" xfId="1" applyNumberFormat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horizontal="right" vertical="center"/>
    </xf>
    <xf numFmtId="169" fontId="5" fillId="0" borderId="24" xfId="1" applyNumberFormat="1" applyFont="1" applyFill="1" applyBorder="1" applyAlignment="1">
      <alignment vertical="center"/>
    </xf>
    <xf numFmtId="169" fontId="5" fillId="0" borderId="13" xfId="1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5" fillId="0" borderId="24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vertical="center" wrapText="1"/>
    </xf>
    <xf numFmtId="169" fontId="5" fillId="0" borderId="24" xfId="5" applyNumberFormat="1" applyFont="1" applyFill="1" applyBorder="1" applyAlignment="1">
      <alignment horizontal="right" vertical="center"/>
    </xf>
    <xf numFmtId="169" fontId="5" fillId="0" borderId="13" xfId="5" applyNumberFormat="1" applyFont="1" applyFill="1" applyBorder="1" applyAlignment="1">
      <alignment horizontal="right" vertical="center"/>
    </xf>
    <xf numFmtId="170" fontId="5" fillId="0" borderId="13" xfId="0" applyNumberFormat="1" applyFont="1" applyFill="1" applyBorder="1" applyAlignment="1">
      <alignment horizontal="right"/>
    </xf>
    <xf numFmtId="175" fontId="5" fillId="0" borderId="13" xfId="1" applyNumberFormat="1" applyFont="1" applyFill="1" applyBorder="1" applyAlignment="1">
      <alignment horizontal="right" vertical="center"/>
    </xf>
    <xf numFmtId="169" fontId="5" fillId="0" borderId="13" xfId="1" applyNumberFormat="1" applyFont="1" applyFill="1" applyBorder="1" applyAlignment="1">
      <alignment horizontal="right" vertical="center"/>
    </xf>
    <xf numFmtId="178" fontId="5" fillId="0" borderId="24" xfId="4" applyNumberFormat="1" applyFont="1" applyFill="1" applyBorder="1" applyAlignment="1">
      <alignment horizontal="right" vertical="center"/>
    </xf>
    <xf numFmtId="178" fontId="5" fillId="0" borderId="13" xfId="6" applyNumberFormat="1" applyFont="1" applyFill="1" applyBorder="1" applyAlignment="1">
      <alignment horizontal="right" vertical="center"/>
    </xf>
    <xf numFmtId="182" fontId="5" fillId="0" borderId="13" xfId="6" applyNumberFormat="1" applyFont="1" applyFill="1" applyBorder="1" applyAlignment="1">
      <alignment horizontal="right" vertical="center"/>
    </xf>
    <xf numFmtId="4" fontId="5" fillId="0" borderId="13" xfId="1" applyNumberFormat="1" applyFont="1" applyFill="1" applyBorder="1" applyAlignment="1">
      <alignment horizontal="right"/>
    </xf>
    <xf numFmtId="174" fontId="5" fillId="0" borderId="24" xfId="1" applyNumberFormat="1" applyFont="1" applyFill="1" applyBorder="1" applyAlignment="1">
      <alignment horizontal="right"/>
    </xf>
    <xf numFmtId="174" fontId="5" fillId="0" borderId="13" xfId="1" applyNumberFormat="1" applyFont="1" applyFill="1" applyBorder="1" applyAlignment="1">
      <alignment horizontal="right"/>
    </xf>
    <xf numFmtId="175" fontId="5" fillId="0" borderId="24" xfId="1" applyNumberFormat="1" applyFont="1" applyFill="1" applyBorder="1" applyAlignment="1">
      <alignment horizontal="right"/>
    </xf>
    <xf numFmtId="174" fontId="5" fillId="0" borderId="24" xfId="1" applyNumberFormat="1" applyFont="1" applyFill="1" applyBorder="1" applyAlignment="1">
      <alignment horizontal="right" vertical="center"/>
    </xf>
    <xf numFmtId="174" fontId="5" fillId="0" borderId="13" xfId="1" applyNumberFormat="1" applyFont="1" applyFill="1" applyBorder="1" applyAlignment="1">
      <alignment horizontal="right" vertical="center"/>
    </xf>
    <xf numFmtId="174" fontId="5" fillId="0" borderId="26" xfId="1" applyNumberFormat="1" applyFont="1" applyFill="1" applyBorder="1" applyAlignment="1">
      <alignment horizontal="right" vertical="center"/>
    </xf>
    <xf numFmtId="174" fontId="5" fillId="0" borderId="16" xfId="1" applyNumberFormat="1" applyFont="1" applyFill="1" applyBorder="1" applyAlignment="1">
      <alignment horizontal="right" vertical="center"/>
    </xf>
    <xf numFmtId="3" fontId="6" fillId="3" borderId="13" xfId="0" applyNumberFormat="1" applyFont="1" applyFill="1" applyBorder="1" applyAlignment="1">
      <alignment horizontal="right"/>
    </xf>
    <xf numFmtId="3" fontId="5" fillId="3" borderId="13" xfId="1" applyNumberFormat="1" applyFont="1" applyFill="1" applyBorder="1" applyAlignment="1">
      <alignment horizontal="right" vertical="center"/>
    </xf>
    <xf numFmtId="3" fontId="5" fillId="3" borderId="13" xfId="1" applyNumberFormat="1" applyFont="1" applyFill="1" applyBorder="1" applyAlignment="1">
      <alignment horizontal="right"/>
    </xf>
    <xf numFmtId="49" fontId="5" fillId="0" borderId="12" xfId="0" quotePrefix="1" applyNumberFormat="1" applyFont="1" applyFill="1" applyBorder="1" applyAlignment="1">
      <alignment horizontal="left" indent="6"/>
    </xf>
    <xf numFmtId="0" fontId="0" fillId="2" borderId="0" xfId="0" applyFill="1"/>
    <xf numFmtId="0" fontId="6" fillId="2" borderId="32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vertical="center"/>
    </xf>
    <xf numFmtId="0" fontId="6" fillId="2" borderId="36" xfId="0" applyFont="1" applyFill="1" applyBorder="1" applyAlignment="1">
      <alignment vertical="center"/>
    </xf>
    <xf numFmtId="0" fontId="4" fillId="2" borderId="34" xfId="0" applyFont="1" applyFill="1" applyBorder="1"/>
    <xf numFmtId="183" fontId="0" fillId="2" borderId="0" xfId="0" applyNumberFormat="1" applyFill="1"/>
    <xf numFmtId="0" fontId="5" fillId="2" borderId="3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vertical="center"/>
    </xf>
    <xf numFmtId="183" fontId="5" fillId="2" borderId="31" xfId="0" applyNumberFormat="1" applyFont="1" applyFill="1" applyBorder="1" applyAlignment="1">
      <alignment vertical="center"/>
    </xf>
    <xf numFmtId="183" fontId="5" fillId="2" borderId="36" xfId="0" applyNumberFormat="1" applyFont="1" applyFill="1" applyBorder="1" applyAlignment="1">
      <alignment vertical="center"/>
    </xf>
    <xf numFmtId="0" fontId="5" fillId="2" borderId="37" xfId="0" quotePrefix="1" applyFont="1" applyFill="1" applyBorder="1" applyAlignment="1">
      <alignment vertical="center"/>
    </xf>
    <xf numFmtId="0" fontId="5" fillId="2" borderId="38" xfId="0" applyFont="1" applyFill="1" applyBorder="1" applyAlignment="1">
      <alignment horizontal="center" vertical="center"/>
    </xf>
    <xf numFmtId="166" fontId="5" fillId="2" borderId="38" xfId="12" applyNumberFormat="1" applyFont="1" applyFill="1" applyBorder="1" applyAlignment="1">
      <alignment vertical="center"/>
    </xf>
    <xf numFmtId="166" fontId="5" fillId="2" borderId="38" xfId="1" applyNumberFormat="1" applyFont="1" applyFill="1" applyBorder="1" applyAlignment="1">
      <alignment vertical="center"/>
    </xf>
    <xf numFmtId="179" fontId="5" fillId="2" borderId="39" xfId="11" applyNumberFormat="1" applyFont="1" applyFill="1" applyBorder="1" applyAlignment="1">
      <alignment vertical="center"/>
    </xf>
    <xf numFmtId="166" fontId="5" fillId="2" borderId="39" xfId="12" applyNumberFormat="1" applyFont="1" applyFill="1" applyBorder="1" applyAlignment="1">
      <alignment vertical="center"/>
    </xf>
    <xf numFmtId="0" fontId="4" fillId="2" borderId="40" xfId="0" applyFont="1" applyFill="1" applyBorder="1"/>
    <xf numFmtId="0" fontId="5" fillId="2" borderId="41" xfId="0" quotePrefix="1" applyFont="1" applyFill="1" applyBorder="1" applyAlignment="1">
      <alignment horizontal="left" vertical="center" indent="5"/>
    </xf>
    <xf numFmtId="0" fontId="5" fillId="2" borderId="42" xfId="0" applyFont="1" applyFill="1" applyBorder="1" applyAlignment="1">
      <alignment horizontal="center" vertical="center"/>
    </xf>
    <xf numFmtId="166" fontId="5" fillId="2" borderId="42" xfId="12" applyNumberFormat="1" applyFont="1" applyFill="1" applyBorder="1" applyAlignment="1">
      <alignment vertical="center"/>
    </xf>
    <xf numFmtId="166" fontId="5" fillId="2" borderId="42" xfId="1" applyNumberFormat="1" applyFont="1" applyFill="1" applyBorder="1" applyAlignment="1">
      <alignment vertical="center"/>
    </xf>
    <xf numFmtId="179" fontId="5" fillId="2" borderId="43" xfId="11" applyNumberFormat="1" applyFont="1" applyFill="1" applyBorder="1" applyAlignment="1">
      <alignment vertical="center"/>
    </xf>
    <xf numFmtId="166" fontId="5" fillId="2" borderId="43" xfId="12" applyNumberFormat="1" applyFont="1" applyFill="1" applyBorder="1" applyAlignment="1">
      <alignment vertical="center"/>
    </xf>
    <xf numFmtId="0" fontId="4" fillId="2" borderId="44" xfId="0" applyFont="1" applyFill="1" applyBorder="1"/>
    <xf numFmtId="0" fontId="5" fillId="2" borderId="41" xfId="0" quotePrefix="1" applyFont="1" applyFill="1" applyBorder="1" applyAlignment="1">
      <alignment vertical="center"/>
    </xf>
    <xf numFmtId="0" fontId="5" fillId="2" borderId="45" xfId="0" quotePrefix="1" applyFont="1" applyFill="1" applyBorder="1" applyAlignment="1">
      <alignment vertical="center"/>
    </xf>
    <xf numFmtId="0" fontId="5" fillId="2" borderId="46" xfId="0" applyFont="1" applyFill="1" applyBorder="1" applyAlignment="1">
      <alignment horizontal="center" vertical="center"/>
    </xf>
    <xf numFmtId="166" fontId="5" fillId="2" borderId="46" xfId="12" applyNumberFormat="1" applyFont="1" applyFill="1" applyBorder="1" applyAlignment="1">
      <alignment vertical="center"/>
    </xf>
    <xf numFmtId="166" fontId="5" fillId="2" borderId="46" xfId="1" applyNumberFormat="1" applyFont="1" applyFill="1" applyBorder="1" applyAlignment="1">
      <alignment horizontal="right" vertical="center"/>
    </xf>
    <xf numFmtId="179" fontId="5" fillId="2" borderId="47" xfId="11" applyNumberFormat="1" applyFont="1" applyFill="1" applyBorder="1" applyAlignment="1">
      <alignment vertical="center"/>
    </xf>
    <xf numFmtId="166" fontId="5" fillId="2" borderId="47" xfId="12" applyNumberFormat="1" applyFont="1" applyFill="1" applyBorder="1" applyAlignment="1">
      <alignment vertical="center"/>
    </xf>
    <xf numFmtId="183" fontId="10" fillId="2" borderId="48" xfId="0" applyNumberFormat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vertical="center"/>
    </xf>
    <xf numFmtId="0" fontId="5" fillId="2" borderId="32" xfId="0" applyFont="1" applyFill="1" applyBorder="1" applyAlignment="1">
      <alignment horizontal="center" vertical="center"/>
    </xf>
    <xf numFmtId="166" fontId="5" fillId="2" borderId="32" xfId="12" applyNumberFormat="1" applyFont="1" applyFill="1" applyBorder="1" applyAlignment="1">
      <alignment vertical="center"/>
    </xf>
    <xf numFmtId="164" fontId="5" fillId="2" borderId="32" xfId="10" applyFont="1" applyFill="1" applyBorder="1" applyAlignment="1">
      <alignment vertical="center"/>
    </xf>
    <xf numFmtId="166" fontId="5" fillId="2" borderId="32" xfId="1" applyNumberFormat="1" applyFont="1" applyFill="1" applyBorder="1" applyAlignment="1">
      <alignment vertical="center"/>
    </xf>
    <xf numFmtId="166" fontId="5" fillId="2" borderId="49" xfId="12" applyNumberFormat="1" applyFont="1" applyFill="1" applyBorder="1" applyAlignment="1">
      <alignment vertical="center"/>
    </xf>
    <xf numFmtId="0" fontId="4" fillId="2" borderId="50" xfId="0" applyFont="1" applyFill="1" applyBorder="1"/>
    <xf numFmtId="0" fontId="5" fillId="2" borderId="37" xfId="0" applyFont="1" applyFill="1" applyBorder="1" applyAlignment="1">
      <alignment vertical="center"/>
    </xf>
    <xf numFmtId="179" fontId="5" fillId="2" borderId="38" xfId="11" applyNumberFormat="1" applyFont="1" applyFill="1" applyBorder="1" applyAlignment="1">
      <alignment vertical="center"/>
    </xf>
    <xf numFmtId="179" fontId="5" fillId="2" borderId="42" xfId="11" applyNumberFormat="1" applyFont="1" applyFill="1" applyBorder="1" applyAlignment="1">
      <alignment vertical="center"/>
    </xf>
    <xf numFmtId="166" fontId="5" fillId="2" borderId="51" xfId="12" applyNumberFormat="1" applyFont="1" applyFill="1" applyBorder="1" applyAlignment="1">
      <alignment vertical="center"/>
    </xf>
    <xf numFmtId="166" fontId="5" fillId="2" borderId="46" xfId="1" applyNumberFormat="1" applyFont="1" applyFill="1" applyBorder="1" applyAlignment="1">
      <alignment vertical="center"/>
    </xf>
    <xf numFmtId="179" fontId="5" fillId="2" borderId="46" xfId="11" applyNumberFormat="1" applyFont="1" applyFill="1" applyBorder="1" applyAlignment="1">
      <alignment vertical="center"/>
    </xf>
    <xf numFmtId="0" fontId="4" fillId="2" borderId="48" xfId="0" applyFont="1" applyFill="1" applyBorder="1"/>
    <xf numFmtId="0" fontId="5" fillId="2" borderId="52" xfId="0" quotePrefix="1" applyFont="1" applyFill="1" applyBorder="1" applyAlignment="1">
      <alignment vertical="center"/>
    </xf>
    <xf numFmtId="0" fontId="5" fillId="2" borderId="51" xfId="0" applyFont="1" applyFill="1" applyBorder="1" applyAlignment="1">
      <alignment horizontal="center" vertical="center"/>
    </xf>
    <xf numFmtId="166" fontId="5" fillId="2" borderId="51" xfId="1" applyNumberFormat="1" applyFont="1" applyFill="1" applyBorder="1" applyAlignment="1">
      <alignment vertical="center"/>
    </xf>
    <xf numFmtId="179" fontId="5" fillId="2" borderId="51" xfId="11" applyNumberFormat="1" applyFont="1" applyFill="1" applyBorder="1" applyAlignment="1">
      <alignment vertical="center"/>
    </xf>
    <xf numFmtId="0" fontId="4" fillId="2" borderId="53" xfId="0" applyFont="1" applyFill="1" applyBorder="1"/>
    <xf numFmtId="0" fontId="5" fillId="2" borderId="45" xfId="0" applyFont="1" applyFill="1" applyBorder="1" applyAlignment="1">
      <alignment vertical="center"/>
    </xf>
    <xf numFmtId="165" fontId="5" fillId="2" borderId="46" xfId="12" applyNumberFormat="1" applyFont="1" applyFill="1" applyBorder="1" applyAlignment="1">
      <alignment vertical="center"/>
    </xf>
    <xf numFmtId="165" fontId="16" fillId="2" borderId="46" xfId="8" applyNumberFormat="1" applyFont="1" applyFill="1" applyBorder="1" applyAlignment="1">
      <alignment horizontal="center" vertical="center"/>
    </xf>
    <xf numFmtId="165" fontId="16" fillId="2" borderId="46" xfId="12" applyNumberFormat="1" applyFont="1" applyFill="1" applyBorder="1" applyAlignment="1">
      <alignment vertical="center"/>
    </xf>
    <xf numFmtId="165" fontId="5" fillId="2" borderId="46" xfId="11" applyNumberFormat="1" applyFont="1" applyFill="1" applyBorder="1" applyAlignment="1">
      <alignment horizontal="center" vertical="center"/>
    </xf>
    <xf numFmtId="0" fontId="4" fillId="2" borderId="0" xfId="0" applyFont="1" applyFill="1"/>
    <xf numFmtId="165" fontId="5" fillId="2" borderId="31" xfId="12" applyNumberFormat="1" applyFont="1" applyFill="1" applyBorder="1" applyAlignment="1">
      <alignment vertical="center"/>
    </xf>
    <xf numFmtId="165" fontId="5" fillId="2" borderId="31" xfId="8" applyNumberFormat="1" applyFont="1" applyFill="1" applyBorder="1" applyAlignment="1">
      <alignment horizontal="center" vertical="center"/>
    </xf>
    <xf numFmtId="165" fontId="5" fillId="2" borderId="31" xfId="11" applyNumberFormat="1" applyFont="1" applyFill="1" applyBorder="1" applyAlignment="1">
      <alignment horizontal="center" vertical="center"/>
    </xf>
    <xf numFmtId="165" fontId="5" fillId="2" borderId="36" xfId="11" applyNumberFormat="1" applyFont="1" applyFill="1" applyBorder="1" applyAlignment="1">
      <alignment horizontal="center" vertical="center"/>
    </xf>
    <xf numFmtId="0" fontId="5" fillId="2" borderId="37" xfId="0" quotePrefix="1" applyFont="1" applyFill="1" applyBorder="1" applyAlignment="1">
      <alignment horizontal="left" vertical="center" wrapText="1"/>
    </xf>
    <xf numFmtId="0" fontId="5" fillId="2" borderId="41" xfId="0" quotePrefix="1" applyFont="1" applyFill="1" applyBorder="1" applyAlignment="1">
      <alignment horizontal="left" vertical="center" wrapText="1"/>
    </xf>
    <xf numFmtId="0" fontId="5" fillId="2" borderId="45" xfId="0" quotePrefix="1" applyFont="1" applyFill="1" applyBorder="1" applyAlignment="1">
      <alignment horizontal="left" vertical="center" wrapText="1"/>
    </xf>
    <xf numFmtId="165" fontId="5" fillId="2" borderId="46" xfId="8" applyNumberFormat="1" applyFont="1" applyFill="1" applyBorder="1" applyAlignment="1">
      <alignment horizontal="center" vertical="center"/>
    </xf>
    <xf numFmtId="166" fontId="6" fillId="2" borderId="31" xfId="12" applyNumberFormat="1" applyFont="1" applyFill="1" applyBorder="1" applyAlignment="1">
      <alignment vertical="center"/>
    </xf>
    <xf numFmtId="166" fontId="6" fillId="2" borderId="31" xfId="1" applyNumberFormat="1" applyFont="1" applyFill="1" applyBorder="1" applyAlignment="1">
      <alignment vertical="center"/>
    </xf>
    <xf numFmtId="166" fontId="6" fillId="2" borderId="36" xfId="12" applyNumberFormat="1" applyFont="1" applyFill="1" applyBorder="1" applyAlignment="1">
      <alignment vertical="center"/>
    </xf>
    <xf numFmtId="167" fontId="5" fillId="2" borderId="51" xfId="12" applyNumberFormat="1" applyFont="1" applyFill="1" applyBorder="1" applyAlignment="1">
      <alignment vertical="center"/>
    </xf>
    <xf numFmtId="167" fontId="5" fillId="2" borderId="51" xfId="12" applyNumberFormat="1" applyFont="1" applyFill="1" applyBorder="1" applyAlignment="1">
      <alignment horizontal="center" vertical="center"/>
    </xf>
    <xf numFmtId="179" fontId="5" fillId="2" borderId="54" xfId="11" applyNumberFormat="1" applyFont="1" applyFill="1" applyBorder="1" applyAlignment="1">
      <alignment vertical="center"/>
    </xf>
    <xf numFmtId="166" fontId="5" fillId="2" borderId="54" xfId="12" applyNumberFormat="1" applyFont="1" applyFill="1" applyBorder="1" applyAlignment="1">
      <alignment vertical="center"/>
    </xf>
    <xf numFmtId="166" fontId="4" fillId="2" borderId="53" xfId="0" applyNumberFormat="1" applyFont="1" applyFill="1" applyBorder="1"/>
    <xf numFmtId="167" fontId="5" fillId="2" borderId="42" xfId="12" applyNumberFormat="1" applyFont="1" applyFill="1" applyBorder="1" applyAlignment="1">
      <alignment vertical="center"/>
    </xf>
    <xf numFmtId="167" fontId="5" fillId="2" borderId="42" xfId="12" applyNumberFormat="1" applyFont="1" applyFill="1" applyBorder="1" applyAlignment="1">
      <alignment horizontal="center" vertical="center"/>
    </xf>
    <xf numFmtId="166" fontId="4" fillId="2" borderId="44" xfId="0" applyNumberFormat="1" applyFont="1" applyFill="1" applyBorder="1"/>
    <xf numFmtId="0" fontId="5" fillId="2" borderId="41" xfId="0" applyFont="1" applyFill="1" applyBorder="1" applyAlignment="1">
      <alignment horizontal="left" vertical="center" indent="2"/>
    </xf>
    <xf numFmtId="183" fontId="0" fillId="0" borderId="0" xfId="0" applyNumberFormat="1"/>
    <xf numFmtId="183" fontId="0" fillId="3" borderId="0" xfId="0" applyNumberFormat="1" applyFill="1"/>
    <xf numFmtId="0" fontId="0" fillId="3" borderId="0" xfId="0" applyFill="1"/>
    <xf numFmtId="0" fontId="5" fillId="2" borderId="41" xfId="0" applyFont="1" applyFill="1" applyBorder="1" applyAlignment="1">
      <alignment horizontal="left" vertical="center"/>
    </xf>
    <xf numFmtId="0" fontId="5" fillId="2" borderId="41" xfId="0" quotePrefix="1" applyFont="1" applyFill="1" applyBorder="1" applyAlignment="1">
      <alignment horizontal="left" vertical="center" indent="4"/>
    </xf>
    <xf numFmtId="166" fontId="5" fillId="2" borderId="51" xfId="12" applyNumberFormat="1" applyFont="1" applyFill="1" applyBorder="1" applyAlignment="1">
      <alignment horizontal="center" vertical="center"/>
    </xf>
    <xf numFmtId="166" fontId="5" fillId="2" borderId="31" xfId="12" applyNumberFormat="1" applyFont="1" applyFill="1" applyBorder="1" applyAlignment="1">
      <alignment vertical="center"/>
    </xf>
    <xf numFmtId="166" fontId="0" fillId="2" borderId="0" xfId="0" applyNumberFormat="1" applyFill="1"/>
    <xf numFmtId="166" fontId="5" fillId="2" borderId="42" xfId="1" applyNumberFormat="1" applyFont="1" applyFill="1" applyBorder="1" applyAlignment="1">
      <alignment horizontal="center" vertical="center"/>
    </xf>
    <xf numFmtId="166" fontId="5" fillId="2" borderId="42" xfId="12" applyNumberFormat="1" applyFont="1" applyFill="1" applyBorder="1" applyAlignment="1">
      <alignment horizontal="center" vertical="center"/>
    </xf>
    <xf numFmtId="0" fontId="5" fillId="2" borderId="45" xfId="0" quotePrefix="1" applyFont="1" applyFill="1" applyBorder="1" applyAlignment="1">
      <alignment horizontal="left" vertical="center" indent="2"/>
    </xf>
    <xf numFmtId="166" fontId="5" fillId="2" borderId="46" xfId="1" applyNumberFormat="1" applyFont="1" applyFill="1" applyBorder="1" applyAlignment="1">
      <alignment horizontal="center" vertical="center"/>
    </xf>
    <xf numFmtId="166" fontId="5" fillId="2" borderId="46" xfId="12" applyNumberFormat="1" applyFont="1" applyFill="1" applyBorder="1" applyAlignment="1">
      <alignment horizontal="center" vertical="center"/>
    </xf>
    <xf numFmtId="166" fontId="5" fillId="2" borderId="48" xfId="12" applyNumberFormat="1" applyFont="1" applyFill="1" applyBorder="1" applyAlignment="1">
      <alignment horizontal="center" vertical="center"/>
    </xf>
    <xf numFmtId="0" fontId="5" fillId="2" borderId="30" xfId="0" quotePrefix="1" applyFont="1" applyFill="1" applyBorder="1" applyAlignment="1">
      <alignment horizontal="left" vertical="center"/>
    </xf>
    <xf numFmtId="166" fontId="5" fillId="2" borderId="32" xfId="1" applyNumberFormat="1" applyFont="1" applyFill="1" applyBorder="1" applyAlignment="1">
      <alignment horizontal="center" vertical="center"/>
    </xf>
    <xf numFmtId="166" fontId="5" fillId="2" borderId="32" xfId="12" applyNumberFormat="1" applyFont="1" applyFill="1" applyBorder="1" applyAlignment="1">
      <alignment horizontal="center" vertical="center"/>
    </xf>
    <xf numFmtId="179" fontId="5" fillId="2" borderId="32" xfId="11" applyNumberFormat="1" applyFont="1" applyFill="1" applyBorder="1" applyAlignment="1">
      <alignment vertical="center"/>
    </xf>
    <xf numFmtId="0" fontId="4" fillId="2" borderId="55" xfId="0" applyFont="1" applyFill="1" applyBorder="1"/>
    <xf numFmtId="0" fontId="5" fillId="2" borderId="52" xfId="0" quotePrefix="1" applyFont="1" applyFill="1" applyBorder="1" applyAlignment="1">
      <alignment horizontal="left" vertical="center"/>
    </xf>
    <xf numFmtId="166" fontId="16" fillId="2" borderId="51" xfId="12" applyNumberFormat="1" applyFont="1" applyFill="1" applyBorder="1" applyAlignment="1">
      <alignment vertical="center"/>
    </xf>
    <xf numFmtId="0" fontId="5" fillId="2" borderId="41" xfId="0" quotePrefix="1" applyFont="1" applyFill="1" applyBorder="1" applyAlignment="1">
      <alignment horizontal="left" vertical="center" indent="2"/>
    </xf>
    <xf numFmtId="166" fontId="16" fillId="2" borderId="42" xfId="12" applyNumberFormat="1" applyFont="1" applyFill="1" applyBorder="1" applyAlignment="1">
      <alignment vertical="center"/>
    </xf>
    <xf numFmtId="166" fontId="5" fillId="2" borderId="44" xfId="12" applyNumberFormat="1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left" vertical="center" indent="9"/>
    </xf>
    <xf numFmtId="0" fontId="5" fillId="2" borderId="41" xfId="0" quotePrefix="1" applyFont="1" applyFill="1" applyBorder="1" applyAlignment="1">
      <alignment horizontal="left" vertical="center"/>
    </xf>
    <xf numFmtId="0" fontId="17" fillId="2" borderId="44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left" vertical="center" indent="8"/>
    </xf>
    <xf numFmtId="165" fontId="5" fillId="2" borderId="42" xfId="1" applyFont="1" applyFill="1" applyBorder="1" applyAlignment="1">
      <alignment horizontal="center" vertical="center"/>
    </xf>
    <xf numFmtId="165" fontId="5" fillId="2" borderId="42" xfId="12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left" vertical="center" indent="7"/>
    </xf>
    <xf numFmtId="0" fontId="5" fillId="2" borderId="35" xfId="0" quotePrefix="1" applyFont="1" applyFill="1" applyBorder="1" applyAlignment="1">
      <alignment vertical="center"/>
    </xf>
    <xf numFmtId="166" fontId="5" fillId="2" borderId="31" xfId="1" applyNumberFormat="1" applyFont="1" applyFill="1" applyBorder="1" applyAlignment="1">
      <alignment horizontal="center" vertical="center"/>
    </xf>
    <xf numFmtId="166" fontId="5" fillId="2" borderId="31" xfId="12" applyNumberFormat="1" applyFont="1" applyFill="1" applyBorder="1" applyAlignment="1">
      <alignment horizontal="center" vertical="center"/>
    </xf>
    <xf numFmtId="179" fontId="5" fillId="2" borderId="36" xfId="11" applyNumberFormat="1" applyFont="1" applyFill="1" applyBorder="1" applyAlignment="1">
      <alignment vertical="center"/>
    </xf>
    <xf numFmtId="166" fontId="5" fillId="2" borderId="36" xfId="12" applyNumberFormat="1" applyFont="1" applyFill="1" applyBorder="1" applyAlignment="1">
      <alignment vertical="center"/>
    </xf>
    <xf numFmtId="0" fontId="5" fillId="2" borderId="52" xfId="0" applyFont="1" applyFill="1" applyBorder="1" applyAlignment="1">
      <alignment horizontal="left" vertical="center" indent="1"/>
    </xf>
    <xf numFmtId="166" fontId="5" fillId="2" borderId="51" xfId="8" applyNumberFormat="1" applyFont="1" applyFill="1" applyBorder="1" applyAlignment="1">
      <alignment horizontal="center" vertical="center"/>
    </xf>
    <xf numFmtId="166" fontId="5" fillId="2" borderId="51" xfId="11" applyNumberFormat="1" applyFont="1" applyFill="1" applyBorder="1" applyAlignment="1">
      <alignment horizontal="center" vertical="center"/>
    </xf>
    <xf numFmtId="0" fontId="5" fillId="2" borderId="56" xfId="0" quotePrefix="1" applyFont="1" applyFill="1" applyBorder="1" applyAlignment="1">
      <alignment horizontal="left" vertical="center" indent="6"/>
    </xf>
    <xf numFmtId="0" fontId="5" fillId="2" borderId="57" xfId="0" applyFont="1" applyFill="1" applyBorder="1" applyAlignment="1">
      <alignment horizontal="center" vertical="center"/>
    </xf>
    <xf numFmtId="166" fontId="5" fillId="2" borderId="57" xfId="12" applyNumberFormat="1" applyFont="1" applyFill="1" applyBorder="1" applyAlignment="1">
      <alignment vertical="center"/>
    </xf>
    <xf numFmtId="166" fontId="5" fillId="2" borderId="57" xfId="12" applyNumberFormat="1" applyFont="1" applyFill="1" applyBorder="1" applyAlignment="1">
      <alignment horizontal="center" vertical="center"/>
    </xf>
    <xf numFmtId="179" fontId="5" fillId="2" borderId="58" xfId="11" applyNumberFormat="1" applyFont="1" applyFill="1" applyBorder="1" applyAlignment="1">
      <alignment vertical="center"/>
    </xf>
    <xf numFmtId="166" fontId="5" fillId="2" borderId="58" xfId="12" applyNumberFormat="1" applyFont="1" applyFill="1" applyBorder="1" applyAlignment="1">
      <alignment vertical="center"/>
    </xf>
    <xf numFmtId="0" fontId="10" fillId="2" borderId="59" xfId="0" applyFont="1" applyFill="1" applyBorder="1" applyAlignment="1">
      <alignment horizontal="center" vertical="center"/>
    </xf>
    <xf numFmtId="9" fontId="5" fillId="2" borderId="38" xfId="8" applyFont="1" applyFill="1" applyBorder="1" applyAlignment="1">
      <alignment horizontal="center" vertical="center"/>
    </xf>
    <xf numFmtId="9" fontId="5" fillId="2" borderId="38" xfId="11" applyFont="1" applyFill="1" applyBorder="1" applyAlignment="1">
      <alignment horizontal="center" vertical="center"/>
    </xf>
    <xf numFmtId="9" fontId="5" fillId="2" borderId="46" xfId="8" applyFont="1" applyFill="1" applyBorder="1" applyAlignment="1">
      <alignment horizontal="center" vertical="center"/>
    </xf>
    <xf numFmtId="9" fontId="5" fillId="2" borderId="46" xfId="11" applyFont="1" applyFill="1" applyBorder="1" applyAlignment="1">
      <alignment horizontal="center" vertical="center"/>
    </xf>
    <xf numFmtId="0" fontId="5" fillId="2" borderId="30" xfId="0" quotePrefix="1" applyFont="1" applyFill="1" applyBorder="1" applyAlignment="1">
      <alignment horizontal="left" vertical="center" indent="2"/>
    </xf>
    <xf numFmtId="0" fontId="5" fillId="2" borderId="30" xfId="0" quotePrefix="1" applyFont="1" applyFill="1" applyBorder="1" applyAlignment="1">
      <alignment vertical="center" wrapText="1"/>
    </xf>
    <xf numFmtId="166" fontId="5" fillId="2" borderId="6" xfId="1" applyNumberFormat="1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vertical="center"/>
    </xf>
    <xf numFmtId="0" fontId="19" fillId="2" borderId="36" xfId="0" applyFont="1" applyFill="1" applyBorder="1" applyAlignment="1">
      <alignment vertical="center"/>
    </xf>
    <xf numFmtId="0" fontId="19" fillId="2" borderId="34" xfId="0" applyFont="1" applyFill="1" applyBorder="1" applyAlignment="1">
      <alignment horizontal="center" vertical="center"/>
    </xf>
    <xf numFmtId="0" fontId="5" fillId="2" borderId="37" xfId="0" quotePrefix="1" applyFont="1" applyFill="1" applyBorder="1" applyAlignment="1">
      <alignment horizontal="left" vertical="center"/>
    </xf>
    <xf numFmtId="166" fontId="20" fillId="2" borderId="40" xfId="12" applyNumberFormat="1" applyFont="1" applyFill="1" applyBorder="1" applyAlignment="1">
      <alignment vertical="center"/>
    </xf>
    <xf numFmtId="166" fontId="20" fillId="2" borderId="44" xfId="12" applyNumberFormat="1" applyFont="1" applyFill="1" applyBorder="1" applyAlignment="1">
      <alignment vertical="center"/>
    </xf>
    <xf numFmtId="0" fontId="5" fillId="2" borderId="41" xfId="0" applyFont="1" applyFill="1" applyBorder="1" applyAlignment="1">
      <alignment horizontal="left" vertical="center" indent="5"/>
    </xf>
    <xf numFmtId="166" fontId="4" fillId="2" borderId="44" xfId="12" applyNumberFormat="1" applyFont="1" applyFill="1" applyBorder="1" applyAlignment="1">
      <alignment vertical="center"/>
    </xf>
    <xf numFmtId="0" fontId="5" fillId="2" borderId="42" xfId="0" applyFont="1" applyFill="1" applyBorder="1"/>
    <xf numFmtId="0" fontId="0" fillId="2" borderId="44" xfId="0" applyFill="1" applyBorder="1"/>
    <xf numFmtId="166" fontId="5" fillId="2" borderId="57" xfId="1" applyNumberFormat="1" applyFont="1" applyFill="1" applyBorder="1" applyAlignment="1">
      <alignment vertical="center"/>
    </xf>
    <xf numFmtId="0" fontId="0" fillId="2" borderId="42" xfId="0" applyFill="1" applyBorder="1"/>
    <xf numFmtId="0" fontId="9" fillId="2" borderId="0" xfId="0" applyFont="1" applyFill="1" applyBorder="1" applyAlignment="1"/>
    <xf numFmtId="0" fontId="5" fillId="2" borderId="60" xfId="0" quotePrefix="1" applyFont="1" applyFill="1" applyBorder="1" applyAlignment="1">
      <alignment horizontal="left" vertical="center"/>
    </xf>
    <xf numFmtId="0" fontId="5" fillId="2" borderId="61" xfId="0" applyFont="1" applyFill="1" applyBorder="1" applyAlignment="1">
      <alignment horizontal="center" vertical="center"/>
    </xf>
    <xf numFmtId="166" fontId="5" fillId="2" borderId="61" xfId="1" applyNumberFormat="1" applyFont="1" applyFill="1" applyBorder="1" applyAlignment="1">
      <alignment vertical="center"/>
    </xf>
    <xf numFmtId="0" fontId="0" fillId="2" borderId="61" xfId="0" applyFill="1" applyBorder="1"/>
    <xf numFmtId="0" fontId="0" fillId="2" borderId="62" xfId="0" applyFill="1" applyBorder="1"/>
    <xf numFmtId="4" fontId="6" fillId="0" borderId="24" xfId="1" applyNumberFormat="1" applyFont="1" applyFill="1" applyBorder="1" applyAlignment="1">
      <alignment horizontal="right" vertical="center"/>
    </xf>
    <xf numFmtId="165" fontId="11" fillId="2" borderId="13" xfId="1" applyNumberFormat="1" applyFont="1" applyFill="1" applyBorder="1"/>
    <xf numFmtId="0" fontId="1" fillId="0" borderId="0" xfId="0" applyFont="1" applyAlignment="1">
      <alignment horizontal="center"/>
    </xf>
    <xf numFmtId="0" fontId="6" fillId="0" borderId="2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1" fillId="0" borderId="0" xfId="7" applyFont="1" applyBorder="1" applyAlignment="1">
      <alignment horizontal="center"/>
    </xf>
    <xf numFmtId="49" fontId="9" fillId="0" borderId="23" xfId="7" applyNumberFormat="1" applyFont="1" applyBorder="1" applyAlignment="1">
      <alignment horizontal="center"/>
    </xf>
    <xf numFmtId="0" fontId="9" fillId="0" borderId="23" xfId="7" applyFont="1" applyBorder="1" applyAlignment="1">
      <alignment horizontal="center"/>
    </xf>
    <xf numFmtId="0" fontId="6" fillId="2" borderId="27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/>
    </xf>
    <xf numFmtId="166" fontId="5" fillId="2" borderId="57" xfId="1" applyNumberFormat="1" applyFont="1" applyFill="1" applyBorder="1" applyAlignment="1">
      <alignment horizontal="center" vertical="center"/>
    </xf>
    <xf numFmtId="166" fontId="5" fillId="2" borderId="51" xfId="1" applyNumberFormat="1" applyFont="1" applyFill="1" applyBorder="1" applyAlignment="1">
      <alignment horizontal="center" vertical="center"/>
    </xf>
    <xf numFmtId="166" fontId="5" fillId="2" borderId="57" xfId="12" applyNumberFormat="1" applyFont="1" applyFill="1" applyBorder="1" applyAlignment="1">
      <alignment horizontal="center" vertical="center"/>
    </xf>
    <xf numFmtId="166" fontId="5" fillId="2" borderId="51" xfId="12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13">
    <cellStyle name="Comma" xfId="6" builtinId="3"/>
    <cellStyle name="Comma 10" xfId="4"/>
    <cellStyle name="Comma 2" xfId="1"/>
    <cellStyle name="Comma 3" xfId="12"/>
    <cellStyle name="Currency" xfId="10" builtinId="4"/>
    <cellStyle name="Currency 2" xfId="9"/>
    <cellStyle name="Normal" xfId="0" builtinId="0"/>
    <cellStyle name="Normal 2" xfId="7"/>
    <cellStyle name="Normal_Bieu BC cap Huyen - Xa " xfId="3"/>
    <cellStyle name="Normal_Bieutheovien" xfId="2"/>
    <cellStyle name="Normal_danh muc dau tu 2017" xfId="5"/>
    <cellStyle name="Percent" xfId="11" builtinId="5"/>
    <cellStyle name="Percent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N%20NGUYEN\Downloads\so%20lieu%20%20KTXH%20%20gd%202015-2020%20va%202020-2025%20huyen%20Nam%20Dong%20LAN%201%202019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pbox\TAI%20CHINH%20-%20KE%20HOACH\6.%20XU%20LY%20CONG%20VIEC\BAO%20CAO%20KINH%20TE%20-%20XA%20HOI%20NAM%202020\Du%20thao%20bao%20cao%206%20thang\BC%20T&#236;nh%20h&#236;nh%20KTXH%206%20th&#225;ng,%209%20th&#225;ng,%2012%20th&#225;ng%20h&#224;ng%20n&#259;m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ảng tính thứ cấp"/>
      <sheetName val="Mau phong TCKH"/>
      <sheetName val="6,2019 ước 2020"/>
      <sheetName val="Sheet3"/>
    </sheetNames>
    <sheetDataSet>
      <sheetData sheetId="0" refreshError="1">
        <row r="8">
          <cell r="H8">
            <v>1913100</v>
          </cell>
        </row>
        <row r="27">
          <cell r="G27">
            <v>886759.48</v>
          </cell>
        </row>
        <row r="29">
          <cell r="G29">
            <v>111081.60000000001</v>
          </cell>
        </row>
        <row r="30">
          <cell r="G30">
            <v>99334.529999999984</v>
          </cell>
        </row>
        <row r="32">
          <cell r="G32">
            <v>230394</v>
          </cell>
        </row>
        <row r="33">
          <cell r="G33">
            <v>126434</v>
          </cell>
        </row>
        <row r="34">
          <cell r="G34">
            <v>10220</v>
          </cell>
        </row>
        <row r="35">
          <cell r="G35">
            <v>309295.35000000003</v>
          </cell>
        </row>
        <row r="37">
          <cell r="G37">
            <v>100</v>
          </cell>
        </row>
        <row r="38">
          <cell r="G38">
            <v>23.728658643717012</v>
          </cell>
        </row>
        <row r="39">
          <cell r="G39">
            <v>41.392058193728026</v>
          </cell>
        </row>
        <row r="40">
          <cell r="G40">
            <v>34.879283162554977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ơ kết gđ 2016-2020"/>
      <sheetName val="6 thang 2020"/>
      <sheetName val="Năm 2019 "/>
      <sheetName val="9 tháng 2019"/>
      <sheetName val="6 tháng 2019"/>
      <sheetName val="6 tháng 2018"/>
      <sheetName val="Cả năm 2018"/>
      <sheetName val="Cả năm 2017  "/>
      <sheetName val="9 tháng 2018  "/>
      <sheetName val="9 tháng 2017 "/>
      <sheetName val="6 tháng 2017"/>
      <sheetName val="cả năm 2016"/>
      <sheetName val="9 tháng năm 2016"/>
      <sheetName val="6 tháng năm 2016"/>
      <sheetName val="cả năm 2015"/>
      <sheetName val="9 tháng năm 2015"/>
      <sheetName val="6 tháng nam 2015"/>
      <sheetName val="9 tháng nam 2014"/>
      <sheetName val="6 tháng nam 2014"/>
      <sheetName val="Nam 2013"/>
      <sheetName val="6 tháng Nam 2013"/>
      <sheetName val="9 tháng Nam 2012 "/>
      <sheetName val="6 tháng Nam 2012"/>
      <sheetName val="Nam 2011"/>
    </sheetNames>
    <sheetDataSet>
      <sheetData sheetId="0"/>
      <sheetData sheetId="1"/>
      <sheetData sheetId="2">
        <row r="20">
          <cell r="E20">
            <v>357</v>
          </cell>
        </row>
        <row r="22">
          <cell r="E22">
            <v>269</v>
          </cell>
        </row>
        <row r="23">
          <cell r="E23">
            <v>737</v>
          </cell>
        </row>
        <row r="24">
          <cell r="E24">
            <v>637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zoomScale="85" zoomScaleNormal="85" workbookViewId="0">
      <selection activeCell="D56" sqref="D56"/>
    </sheetView>
  </sheetViews>
  <sheetFormatPr defaultColWidth="9.125" defaultRowHeight="15" x14ac:dyDescent="0.25"/>
  <cols>
    <col min="1" max="1" width="46.75" style="112" customWidth="1"/>
    <col min="2" max="10" width="11.375" style="112" customWidth="1"/>
    <col min="11" max="11" width="10.25" style="112" bestFit="1" customWidth="1"/>
    <col min="12" max="12" width="19.625" style="112" customWidth="1"/>
    <col min="13" max="16384" width="9.125" style="112"/>
  </cols>
  <sheetData>
    <row r="1" spans="1:12" ht="22.5" customHeight="1" x14ac:dyDescent="0.3">
      <c r="A1" s="315" t="s">
        <v>78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2" ht="19.5" customHeight="1" x14ac:dyDescent="0.3">
      <c r="A2" s="321" t="s">
        <v>77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2" ht="20.25" customHeight="1" thickBot="1" x14ac:dyDescent="0.3">
      <c r="A3" s="322" t="s">
        <v>191</v>
      </c>
      <c r="B3" s="322"/>
      <c r="C3" s="322"/>
      <c r="D3" s="322"/>
      <c r="E3" s="322"/>
      <c r="F3" s="322"/>
      <c r="G3" s="322"/>
      <c r="H3" s="322"/>
      <c r="I3" s="322"/>
      <c r="J3" s="322"/>
    </row>
    <row r="4" spans="1:12" ht="16.5" thickTop="1" x14ac:dyDescent="0.25">
      <c r="A4" s="323" t="s">
        <v>0</v>
      </c>
      <c r="B4" s="325" t="s">
        <v>1</v>
      </c>
      <c r="C4" s="316" t="s">
        <v>84</v>
      </c>
      <c r="D4" s="327" t="s">
        <v>192</v>
      </c>
      <c r="E4" s="329" t="s">
        <v>93</v>
      </c>
      <c r="F4" s="330"/>
      <c r="G4" s="316" t="s">
        <v>83</v>
      </c>
      <c r="H4" s="318" t="s">
        <v>2</v>
      </c>
      <c r="I4" s="319"/>
      <c r="J4" s="320"/>
    </row>
    <row r="5" spans="1:12" ht="48" thickBot="1" x14ac:dyDescent="0.3">
      <c r="A5" s="324"/>
      <c r="B5" s="326"/>
      <c r="C5" s="317"/>
      <c r="D5" s="328"/>
      <c r="E5" s="88" t="s">
        <v>82</v>
      </c>
      <c r="F5" s="127" t="s">
        <v>89</v>
      </c>
      <c r="G5" s="317"/>
      <c r="H5" s="41" t="s">
        <v>3</v>
      </c>
      <c r="I5" s="42" t="s">
        <v>4</v>
      </c>
      <c r="J5" s="43" t="s">
        <v>85</v>
      </c>
    </row>
    <row r="6" spans="1:12" ht="16.5" thickTop="1" x14ac:dyDescent="0.25">
      <c r="A6" s="1" t="s">
        <v>5</v>
      </c>
      <c r="B6" s="2"/>
      <c r="C6" s="3"/>
      <c r="D6" s="3"/>
      <c r="E6" s="3"/>
      <c r="F6" s="3"/>
      <c r="G6" s="3"/>
      <c r="H6" s="4"/>
      <c r="I6" s="4"/>
      <c r="J6" s="77"/>
    </row>
    <row r="7" spans="1:12" ht="15.75" x14ac:dyDescent="0.25">
      <c r="A7" s="5" t="s">
        <v>6</v>
      </c>
      <c r="B7" s="6"/>
      <c r="C7" s="7"/>
      <c r="D7" s="7"/>
      <c r="E7" s="8"/>
      <c r="F7" s="8"/>
      <c r="G7" s="7"/>
      <c r="H7" s="9"/>
      <c r="I7" s="9"/>
      <c r="J7" s="78"/>
    </row>
    <row r="8" spans="1:12" ht="15.75" x14ac:dyDescent="0.25">
      <c r="A8" s="10" t="s">
        <v>7</v>
      </c>
      <c r="B8" s="11" t="s">
        <v>8</v>
      </c>
      <c r="C8" s="33">
        <f>C16+C12+C9</f>
        <v>1906269.0133591318</v>
      </c>
      <c r="D8" s="33">
        <f t="shared" ref="D8:G8" si="0">D16+D12+D9</f>
        <v>881758</v>
      </c>
      <c r="E8" s="33">
        <f t="shared" si="0"/>
        <v>2148647.9488110067</v>
      </c>
      <c r="F8" s="33">
        <f t="shared" si="0"/>
        <v>917100</v>
      </c>
      <c r="G8" s="33">
        <f t="shared" si="0"/>
        <v>2114050</v>
      </c>
      <c r="H8" s="13"/>
      <c r="J8" s="79"/>
    </row>
    <row r="9" spans="1:12" ht="15.75" x14ac:dyDescent="0.25">
      <c r="A9" s="10" t="s">
        <v>9</v>
      </c>
      <c r="B9" s="11" t="s">
        <v>8</v>
      </c>
      <c r="C9" s="33">
        <f>C10+C11</f>
        <v>740002</v>
      </c>
      <c r="D9" s="33">
        <f t="shared" ref="D9:G9" si="1">D10+D11</f>
        <v>277900</v>
      </c>
      <c r="E9" s="33">
        <f t="shared" si="1"/>
        <v>806000</v>
      </c>
      <c r="F9" s="33">
        <f t="shared" si="1"/>
        <v>323700</v>
      </c>
      <c r="G9" s="33">
        <f t="shared" si="1"/>
        <v>806000</v>
      </c>
      <c r="H9" s="13"/>
      <c r="I9" s="13"/>
      <c r="J9" s="78"/>
    </row>
    <row r="10" spans="1:12" ht="15.75" x14ac:dyDescent="0.25">
      <c r="A10" s="14" t="s">
        <v>10</v>
      </c>
      <c r="B10" s="15" t="s">
        <v>8</v>
      </c>
      <c r="C10" s="34">
        <v>290002</v>
      </c>
      <c r="D10" s="16">
        <v>113100</v>
      </c>
      <c r="E10" s="91">
        <v>351000</v>
      </c>
      <c r="F10" s="16">
        <v>138500</v>
      </c>
      <c r="G10" s="91">
        <v>351000</v>
      </c>
      <c r="H10" s="13"/>
      <c r="I10" s="13"/>
      <c r="J10" s="78"/>
    </row>
    <row r="11" spans="1:12" ht="15.75" x14ac:dyDescent="0.25">
      <c r="A11" s="14" t="s">
        <v>11</v>
      </c>
      <c r="B11" s="15" t="s">
        <v>8</v>
      </c>
      <c r="C11" s="34">
        <v>450000</v>
      </c>
      <c r="D11" s="16">
        <v>164800</v>
      </c>
      <c r="E11" s="91">
        <v>455000</v>
      </c>
      <c r="F11" s="16">
        <v>185200</v>
      </c>
      <c r="G11" s="91">
        <v>455000</v>
      </c>
      <c r="H11" s="13"/>
      <c r="I11" s="13"/>
      <c r="J11" s="78"/>
    </row>
    <row r="12" spans="1:12" ht="15.75" x14ac:dyDescent="0.25">
      <c r="A12" s="10" t="s">
        <v>12</v>
      </c>
      <c r="B12" s="11" t="s">
        <v>8</v>
      </c>
      <c r="C12" s="12">
        <f>C13+C14+C15</f>
        <v>540579.91680854699</v>
      </c>
      <c r="D12" s="12">
        <f t="shared" ref="D12:G12" si="2">D13+D14+D15</f>
        <v>240300</v>
      </c>
      <c r="E12" s="12">
        <f t="shared" si="2"/>
        <v>605794.75943600689</v>
      </c>
      <c r="F12" s="12">
        <f t="shared" si="2"/>
        <v>255200</v>
      </c>
      <c r="G12" s="12">
        <f t="shared" si="2"/>
        <v>639050</v>
      </c>
      <c r="H12" s="13"/>
      <c r="I12" s="13"/>
      <c r="J12" s="78"/>
    </row>
    <row r="13" spans="1:12" ht="15.75" x14ac:dyDescent="0.25">
      <c r="A13" s="14" t="s">
        <v>13</v>
      </c>
      <c r="B13" s="15" t="s">
        <v>8</v>
      </c>
      <c r="C13" s="34">
        <v>349829.91680854699</v>
      </c>
      <c r="D13" s="16">
        <v>155400</v>
      </c>
      <c r="E13" s="91">
        <v>397269.75943600695</v>
      </c>
      <c r="F13" s="16">
        <v>159200</v>
      </c>
      <c r="G13" s="91">
        <v>416500</v>
      </c>
      <c r="H13" s="13"/>
      <c r="I13" s="13"/>
      <c r="J13" s="78"/>
    </row>
    <row r="14" spans="1:12" ht="15.75" x14ac:dyDescent="0.25">
      <c r="A14" s="14" t="s">
        <v>14</v>
      </c>
      <c r="B14" s="15" t="s">
        <v>8</v>
      </c>
      <c r="C14" s="34">
        <v>174000</v>
      </c>
      <c r="D14" s="16">
        <v>75000</v>
      </c>
      <c r="E14" s="91">
        <v>190650</v>
      </c>
      <c r="F14" s="16">
        <v>85500</v>
      </c>
      <c r="G14" s="91">
        <v>205000</v>
      </c>
      <c r="H14" s="13"/>
      <c r="I14" s="13"/>
      <c r="J14" s="78"/>
    </row>
    <row r="15" spans="1:12" ht="15.75" x14ac:dyDescent="0.25">
      <c r="A15" s="14" t="s">
        <v>15</v>
      </c>
      <c r="B15" s="15" t="s">
        <v>8</v>
      </c>
      <c r="C15" s="34">
        <v>16750</v>
      </c>
      <c r="D15" s="16">
        <v>9900</v>
      </c>
      <c r="E15" s="91">
        <v>17875</v>
      </c>
      <c r="F15" s="16">
        <v>10500</v>
      </c>
      <c r="G15" s="91">
        <v>17550</v>
      </c>
      <c r="H15" s="13"/>
      <c r="I15" s="13"/>
      <c r="J15" s="78"/>
      <c r="K15" s="123"/>
    </row>
    <row r="16" spans="1:12" ht="15.75" x14ac:dyDescent="0.25">
      <c r="A16" s="10" t="s">
        <v>16</v>
      </c>
      <c r="B16" s="11" t="s">
        <v>8</v>
      </c>
      <c r="C16" s="33">
        <v>625687.09655058489</v>
      </c>
      <c r="D16" s="12">
        <v>363558</v>
      </c>
      <c r="E16" s="92">
        <v>736853.18937499996</v>
      </c>
      <c r="F16" s="12">
        <v>338200</v>
      </c>
      <c r="G16" s="92">
        <v>669000</v>
      </c>
      <c r="H16" s="13"/>
      <c r="J16" s="78"/>
      <c r="L16" s="13">
        <f>H16*5</f>
        <v>0</v>
      </c>
    </row>
    <row r="17" spans="1:12" ht="15.75" x14ac:dyDescent="0.25">
      <c r="A17" s="10" t="s">
        <v>17</v>
      </c>
      <c r="B17" s="11" t="s">
        <v>8</v>
      </c>
      <c r="C17" s="18">
        <f>C18+C21+C25</f>
        <v>1378475.5366954962</v>
      </c>
      <c r="D17" s="18">
        <f t="shared" ref="D17:G17" si="3">D18+D21+D25</f>
        <v>631253.98835636536</v>
      </c>
      <c r="E17" s="18">
        <f t="shared" si="3"/>
        <v>1524765.329729585</v>
      </c>
      <c r="F17" s="18">
        <f t="shared" si="3"/>
        <v>658342.23355577199</v>
      </c>
      <c r="G17" s="18">
        <f t="shared" si="3"/>
        <v>1492607.0204867991</v>
      </c>
      <c r="H17" s="13">
        <f t="shared" ref="H17:H24" si="4">F17/D17%</f>
        <v>104.29118004781847</v>
      </c>
      <c r="I17" s="13">
        <f t="shared" ref="I17:I25" si="5">F17/E17%</f>
        <v>43.176626640148491</v>
      </c>
      <c r="J17" s="79">
        <f>G17/C17%</f>
        <v>108.27954365188813</v>
      </c>
      <c r="K17" s="121">
        <v>110.56784925432456</v>
      </c>
    </row>
    <row r="18" spans="1:12" ht="15.75" x14ac:dyDescent="0.25">
      <c r="A18" s="10" t="s">
        <v>9</v>
      </c>
      <c r="B18" s="11" t="s">
        <v>8</v>
      </c>
      <c r="C18" s="18">
        <f>C19+C20</f>
        <v>541950.61479699088</v>
      </c>
      <c r="D18" s="18">
        <f t="shared" ref="D18:G18" si="6">D19+D20</f>
        <v>206498.25711812166</v>
      </c>
      <c r="E18" s="18">
        <f t="shared" si="6"/>
        <v>584638.63298662705</v>
      </c>
      <c r="F18" s="18">
        <f t="shared" si="6"/>
        <v>240532.7872625007</v>
      </c>
      <c r="G18" s="18">
        <f t="shared" si="6"/>
        <v>595181.4901294841</v>
      </c>
      <c r="H18" s="13">
        <f t="shared" si="4"/>
        <v>116.48175176844737</v>
      </c>
      <c r="I18" s="13">
        <f t="shared" si="5"/>
        <v>41.142130145204177</v>
      </c>
      <c r="J18" s="79">
        <f t="shared" ref="J18:J25" si="7">G18/C18%</f>
        <v>109.82208966631266</v>
      </c>
      <c r="K18" s="121">
        <v>107.71956119162358</v>
      </c>
    </row>
    <row r="19" spans="1:12" ht="15.75" x14ac:dyDescent="0.25">
      <c r="A19" s="14" t="s">
        <v>10</v>
      </c>
      <c r="B19" s="15" t="s">
        <v>8</v>
      </c>
      <c r="C19" s="35">
        <v>211068.26185581446</v>
      </c>
      <c r="D19" s="19">
        <v>84061.407192415892</v>
      </c>
      <c r="E19" s="19">
        <v>246600</v>
      </c>
      <c r="F19" s="19">
        <f>F10/1.345445</f>
        <v>102939.91950618569</v>
      </c>
      <c r="G19" s="89">
        <f>G10/1.365</f>
        <v>257142.85714285713</v>
      </c>
      <c r="H19" s="20">
        <f t="shared" si="4"/>
        <v>122.45800176834661</v>
      </c>
      <c r="I19" s="20">
        <f>F19/E19%</f>
        <v>41.743681875987711</v>
      </c>
      <c r="J19" s="80">
        <f>G19/C19%</f>
        <v>121.82923897791763</v>
      </c>
      <c r="K19" s="121">
        <v>116.81187899767704</v>
      </c>
    </row>
    <row r="20" spans="1:12" ht="15.75" x14ac:dyDescent="0.25">
      <c r="A20" s="14" t="s">
        <v>11</v>
      </c>
      <c r="B20" s="15" t="s">
        <v>8</v>
      </c>
      <c r="C20" s="35">
        <v>330882.35294117645</v>
      </c>
      <c r="D20" s="19">
        <v>122436.84992570578</v>
      </c>
      <c r="E20" s="19">
        <f>E11/1.346</f>
        <v>338038.632986627</v>
      </c>
      <c r="F20" s="19">
        <f>F11/1.346</f>
        <v>137592.86775631501</v>
      </c>
      <c r="G20" s="19">
        <f>G11/1.346</f>
        <v>338038.632986627</v>
      </c>
      <c r="H20" s="20">
        <f t="shared" si="4"/>
        <v>112.37864077669903</v>
      </c>
      <c r="I20" s="20">
        <f t="shared" si="5"/>
        <v>40.703296703296708</v>
      </c>
      <c r="J20" s="80">
        <f t="shared" si="7"/>
        <v>102.16278685818061</v>
      </c>
      <c r="K20" s="121">
        <v>101.86007111111113</v>
      </c>
    </row>
    <row r="21" spans="1:12" ht="15.75" x14ac:dyDescent="0.25">
      <c r="A21" s="10" t="s">
        <v>12</v>
      </c>
      <c r="B21" s="11" t="s">
        <v>8</v>
      </c>
      <c r="C21" s="18">
        <f>C22+C23+C24</f>
        <v>402290</v>
      </c>
      <c r="D21" s="18">
        <f t="shared" ref="D21:G21" si="8">D22+D23+D24</f>
        <v>176931.60035889805</v>
      </c>
      <c r="E21" s="18">
        <f t="shared" si="8"/>
        <v>425616</v>
      </c>
      <c r="F21" s="18">
        <f t="shared" si="8"/>
        <v>187270.93231917455</v>
      </c>
      <c r="G21" s="18">
        <f t="shared" si="8"/>
        <v>426298.76979393471</v>
      </c>
      <c r="H21" s="13">
        <f t="shared" si="4"/>
        <v>105.84368871321099</v>
      </c>
      <c r="I21" s="13">
        <f t="shared" si="5"/>
        <v>43.999974700005296</v>
      </c>
      <c r="J21" s="79">
        <f t="shared" si="7"/>
        <v>105.96802550248196</v>
      </c>
      <c r="K21" s="121">
        <v>105.79830470556067</v>
      </c>
    </row>
    <row r="22" spans="1:12" ht="15.75" x14ac:dyDescent="0.25">
      <c r="A22" s="14" t="s">
        <v>13</v>
      </c>
      <c r="B22" s="15" t="s">
        <v>8</v>
      </c>
      <c r="C22" s="34">
        <v>280615</v>
      </c>
      <c r="D22" s="16">
        <v>120418.44246416118</v>
      </c>
      <c r="E22" s="90">
        <v>292308</v>
      </c>
      <c r="F22" s="16">
        <f>F13/1.2905</f>
        <v>123363.03758233243</v>
      </c>
      <c r="G22" s="90">
        <f>G13/1.43</f>
        <v>291258.7412587413</v>
      </c>
      <c r="H22" s="20">
        <f t="shared" si="4"/>
        <v>102.44530244530243</v>
      </c>
      <c r="I22" s="20">
        <f t="shared" si="5"/>
        <v>42.203100011745292</v>
      </c>
      <c r="J22" s="80">
        <f>G22/C22%</f>
        <v>103.79300509906501</v>
      </c>
      <c r="K22" s="121">
        <v>104.16691908843076</v>
      </c>
    </row>
    <row r="23" spans="1:12" ht="15.75" x14ac:dyDescent="0.25">
      <c r="A23" s="14" t="s">
        <v>14</v>
      </c>
      <c r="B23" s="44" t="s">
        <v>8</v>
      </c>
      <c r="C23" s="34">
        <v>110588</v>
      </c>
      <c r="D23" s="125">
        <v>50000</v>
      </c>
      <c r="E23" s="90">
        <v>121795</v>
      </c>
      <c r="F23" s="125">
        <f>F14/1.5</f>
        <v>57000</v>
      </c>
      <c r="G23" s="90">
        <f>G14/1.66</f>
        <v>123493.97590361447</v>
      </c>
      <c r="H23" s="20">
        <f t="shared" si="4"/>
        <v>114</v>
      </c>
      <c r="I23" s="45">
        <f>F23/E23%</f>
        <v>46.799950736893962</v>
      </c>
      <c r="J23" s="80">
        <f t="shared" si="7"/>
        <v>111.67032219012411</v>
      </c>
      <c r="K23" s="121">
        <v>110.13401092342748</v>
      </c>
    </row>
    <row r="24" spans="1:12" ht="15.75" x14ac:dyDescent="0.25">
      <c r="A24" s="14" t="s">
        <v>15</v>
      </c>
      <c r="B24" s="44" t="s">
        <v>8</v>
      </c>
      <c r="C24" s="17">
        <v>11087</v>
      </c>
      <c r="D24" s="125">
        <v>6513.1578947368416</v>
      </c>
      <c r="E24" s="90">
        <v>11513</v>
      </c>
      <c r="F24" s="125">
        <f>F15/1.52</f>
        <v>6907.894736842105</v>
      </c>
      <c r="G24" s="90">
        <f>G15/1.52</f>
        <v>11546.052631578947</v>
      </c>
      <c r="H24" s="20">
        <f t="shared" si="4"/>
        <v>106.06060606060608</v>
      </c>
      <c r="I24" s="45">
        <f t="shared" si="5"/>
        <v>60.00082286842791</v>
      </c>
      <c r="J24" s="80">
        <f t="shared" si="7"/>
        <v>104.14045847911018</v>
      </c>
      <c r="K24" s="121">
        <v>103.8423378731848</v>
      </c>
      <c r="L24" s="120">
        <f>E13/E22</f>
        <v>1.3590793253554707</v>
      </c>
    </row>
    <row r="25" spans="1:12" ht="15.75" x14ac:dyDescent="0.25">
      <c r="A25" s="10" t="s">
        <v>16</v>
      </c>
      <c r="B25" s="46" t="s">
        <v>8</v>
      </c>
      <c r="C25" s="33">
        <v>434234.92189850542</v>
      </c>
      <c r="D25" s="126">
        <f>D16/1.467</f>
        <v>247824.13087934558</v>
      </c>
      <c r="E25" s="93">
        <v>514510.69674295798</v>
      </c>
      <c r="F25" s="126">
        <f>F16/1.467</f>
        <v>230538.51397409677</v>
      </c>
      <c r="G25" s="93">
        <f>G16/1.42</f>
        <v>471126.76056338032</v>
      </c>
      <c r="H25" s="13">
        <f>F25/D25%</f>
        <v>93.02504689760643</v>
      </c>
      <c r="I25" s="47">
        <f t="shared" si="5"/>
        <v>44.807331593587925</v>
      </c>
      <c r="J25" s="79">
        <f t="shared" si="7"/>
        <v>108.49582491053027</v>
      </c>
      <c r="K25" s="121">
        <v>118.48791095276059</v>
      </c>
    </row>
    <row r="26" spans="1:12" ht="15.75" x14ac:dyDescent="0.25">
      <c r="A26" s="21" t="s">
        <v>87</v>
      </c>
      <c r="B26" s="46" t="s">
        <v>8</v>
      </c>
      <c r="C26" s="48">
        <f>'[1]Bảng tính thứ cấp'!G27</f>
        <v>886759.48</v>
      </c>
      <c r="D26" s="50"/>
      <c r="E26" s="49">
        <v>1149274.0738509356</v>
      </c>
      <c r="F26" s="49"/>
      <c r="G26" s="117">
        <f t="shared" ref="G26" si="9">G27+G30+G34</f>
        <v>1134748.3299999998</v>
      </c>
      <c r="H26" s="124"/>
      <c r="I26" s="124"/>
      <c r="J26" s="24"/>
      <c r="K26" s="124"/>
    </row>
    <row r="27" spans="1:12" ht="15.75" x14ac:dyDescent="0.25">
      <c r="A27" s="21" t="s">
        <v>18</v>
      </c>
      <c r="B27" s="46" t="s">
        <v>8</v>
      </c>
      <c r="C27" s="49">
        <f>SUM(C29+C28)</f>
        <v>210416.13</v>
      </c>
      <c r="D27" s="50"/>
      <c r="E27" s="49">
        <v>284038.3</v>
      </c>
      <c r="F27" s="50"/>
      <c r="G27" s="118">
        <f t="shared" ref="G27" si="10">G28+G29</f>
        <v>284038.3</v>
      </c>
      <c r="H27" s="51"/>
      <c r="I27" s="52"/>
      <c r="J27" s="24"/>
    </row>
    <row r="28" spans="1:12" ht="15.75" x14ac:dyDescent="0.25">
      <c r="A28" s="22" t="s">
        <v>19</v>
      </c>
      <c r="B28" s="44" t="s">
        <v>8</v>
      </c>
      <c r="C28" s="53">
        <f>'[1]Bảng tính thứ cấp'!G29</f>
        <v>111081.60000000001</v>
      </c>
      <c r="D28" s="54"/>
      <c r="E28" s="54">
        <v>168058.8</v>
      </c>
      <c r="F28" s="54"/>
      <c r="G28" s="119">
        <f>G10*47.88%</f>
        <v>168058.8</v>
      </c>
      <c r="H28" s="55"/>
      <c r="I28" s="56"/>
      <c r="J28" s="81"/>
    </row>
    <row r="29" spans="1:12" ht="15.75" x14ac:dyDescent="0.25">
      <c r="A29" s="22" t="s">
        <v>20</v>
      </c>
      <c r="B29" s="44" t="s">
        <v>8</v>
      </c>
      <c r="C29" s="53">
        <f>'[1]Bảng tính thứ cấp'!G30</f>
        <v>99334.529999999984</v>
      </c>
      <c r="D29" s="54"/>
      <c r="E29" s="119">
        <v>115979.49999999999</v>
      </c>
      <c r="F29" s="54"/>
      <c r="G29" s="119">
        <f>G11*25.49%</f>
        <v>115979.49999999999</v>
      </c>
      <c r="H29" s="57"/>
      <c r="I29" s="57"/>
      <c r="J29" s="82"/>
    </row>
    <row r="30" spans="1:12" ht="15.75" x14ac:dyDescent="0.25">
      <c r="A30" s="23" t="s">
        <v>21</v>
      </c>
      <c r="B30" s="46" t="s">
        <v>8</v>
      </c>
      <c r="C30" s="58">
        <f>SUM(C31:C33)</f>
        <v>367048</v>
      </c>
      <c r="D30" s="58"/>
      <c r="E30" s="58">
        <v>440071.48358156061</v>
      </c>
      <c r="F30" s="58"/>
      <c r="G30" s="118">
        <f t="shared" ref="G30" si="11">SUM(G31:G33)</f>
        <v>464697.02999999991</v>
      </c>
      <c r="H30" s="59"/>
      <c r="I30" s="60"/>
      <c r="J30" s="83"/>
    </row>
    <row r="31" spans="1:12" ht="15.75" x14ac:dyDescent="0.25">
      <c r="A31" s="22" t="s">
        <v>22</v>
      </c>
      <c r="B31" s="44" t="s">
        <v>8</v>
      </c>
      <c r="C31" s="53">
        <f>'[1]Bảng tính thứ cấp'!G32</f>
        <v>230394</v>
      </c>
      <c r="D31" s="61"/>
      <c r="E31" s="119">
        <v>266568.00858156063</v>
      </c>
      <c r="F31" s="61"/>
      <c r="G31" s="119">
        <f>G13*67.1%</f>
        <v>279471.49999999994</v>
      </c>
      <c r="H31" s="61"/>
      <c r="I31" s="62"/>
      <c r="J31" s="36"/>
    </row>
    <row r="32" spans="1:12" ht="15.75" x14ac:dyDescent="0.25">
      <c r="A32" s="22" t="s">
        <v>23</v>
      </c>
      <c r="B32" s="44" t="s">
        <v>8</v>
      </c>
      <c r="C32" s="53">
        <f>'[1]Bảng tính thứ cấp'!G33</f>
        <v>126434</v>
      </c>
      <c r="D32" s="54"/>
      <c r="E32" s="54">
        <v>159192.75</v>
      </c>
      <c r="F32" s="54"/>
      <c r="G32" s="119">
        <f>G14*83.5%</f>
        <v>171175</v>
      </c>
      <c r="H32" s="63"/>
      <c r="I32" s="63"/>
      <c r="J32" s="84"/>
    </row>
    <row r="33" spans="1:10" ht="15.75" x14ac:dyDescent="0.25">
      <c r="A33" s="22" t="s">
        <v>24</v>
      </c>
      <c r="B33" s="44" t="s">
        <v>8</v>
      </c>
      <c r="C33" s="53">
        <f>'[1]Bảng tính thứ cấp'!G34</f>
        <v>10220</v>
      </c>
      <c r="D33" s="54"/>
      <c r="E33" s="54">
        <v>14310.725</v>
      </c>
      <c r="F33" s="54"/>
      <c r="G33" s="119">
        <f>G15*80.06%</f>
        <v>14050.529999999999</v>
      </c>
      <c r="H33" s="63"/>
      <c r="I33" s="63"/>
      <c r="J33" s="84"/>
    </row>
    <row r="34" spans="1:10" ht="15.75" x14ac:dyDescent="0.25">
      <c r="A34" s="21" t="s">
        <v>25</v>
      </c>
      <c r="B34" s="46" t="s">
        <v>8</v>
      </c>
      <c r="C34" s="64">
        <f>'[1]Bảng tính thứ cấp'!G35</f>
        <v>309295.35000000003</v>
      </c>
      <c r="D34" s="58"/>
      <c r="E34" s="58">
        <v>425164.29026937502</v>
      </c>
      <c r="F34" s="58"/>
      <c r="G34" s="118">
        <f>G16*57.7%</f>
        <v>386013.00000000006</v>
      </c>
      <c r="H34" s="65"/>
      <c r="I34" s="65"/>
      <c r="J34" s="85"/>
    </row>
    <row r="35" spans="1:10" ht="15.75" x14ac:dyDescent="0.25">
      <c r="A35" s="21" t="s">
        <v>86</v>
      </c>
      <c r="B35" s="46"/>
      <c r="C35" s="115">
        <v>35.279889836981113</v>
      </c>
      <c r="D35" s="58"/>
      <c r="E35" s="116">
        <f>E26/E72/1000</f>
        <v>39.905349786490824</v>
      </c>
      <c r="F35" s="58"/>
      <c r="G35" s="116">
        <f>G26/G72/1000</f>
        <v>39.400983680555548</v>
      </c>
      <c r="H35" s="122"/>
      <c r="I35" s="65"/>
      <c r="J35" s="85"/>
    </row>
    <row r="36" spans="1:10" ht="15.75" x14ac:dyDescent="0.25">
      <c r="A36" s="21" t="s">
        <v>26</v>
      </c>
      <c r="B36" s="67" t="s">
        <v>27</v>
      </c>
      <c r="C36" s="68">
        <f>'[1]Bảng tính thứ cấp'!G37</f>
        <v>100</v>
      </c>
      <c r="D36" s="69"/>
      <c r="E36" s="69">
        <v>100</v>
      </c>
      <c r="F36" s="69"/>
      <c r="G36" s="69">
        <f>SUM(G37:G39)</f>
        <v>100</v>
      </c>
      <c r="H36" s="51"/>
      <c r="I36" s="66"/>
      <c r="J36" s="27"/>
    </row>
    <row r="37" spans="1:10" ht="15.75" x14ac:dyDescent="0.25">
      <c r="A37" s="25" t="s">
        <v>28</v>
      </c>
      <c r="B37" s="70" t="s">
        <v>27</v>
      </c>
      <c r="C37" s="71">
        <f>'[1]Bảng tính thứ cấp'!G38</f>
        <v>23.728658643717012</v>
      </c>
      <c r="D37" s="72"/>
      <c r="E37" s="72">
        <v>24.714583445553355</v>
      </c>
      <c r="F37" s="72"/>
      <c r="G37" s="72">
        <f>G27/G26*100</f>
        <v>25.030951136099048</v>
      </c>
      <c r="H37" s="51"/>
      <c r="I37" s="51"/>
      <c r="J37" s="27"/>
    </row>
    <row r="38" spans="1:10" ht="15.75" x14ac:dyDescent="0.25">
      <c r="A38" s="25" t="s">
        <v>29</v>
      </c>
      <c r="B38" s="70" t="s">
        <v>27</v>
      </c>
      <c r="C38" s="71">
        <f>'[1]Bảng tính thứ cấp'!G39</f>
        <v>41.392058193728026</v>
      </c>
      <c r="D38" s="72"/>
      <c r="E38" s="72">
        <v>38.29125650655191</v>
      </c>
      <c r="F38" s="72"/>
      <c r="G38" s="72">
        <f>G30/G26*100</f>
        <v>40.951550023431182</v>
      </c>
      <c r="H38" s="73"/>
      <c r="I38" s="51"/>
      <c r="J38" s="27"/>
    </row>
    <row r="39" spans="1:10" ht="15.75" x14ac:dyDescent="0.25">
      <c r="A39" s="25" t="s">
        <v>30</v>
      </c>
      <c r="B39" s="70" t="s">
        <v>27</v>
      </c>
      <c r="C39" s="71">
        <f>'[1]Bảng tính thứ cấp'!G40</f>
        <v>34.879283162554977</v>
      </c>
      <c r="D39" s="72"/>
      <c r="E39" s="72">
        <v>36.994160047894731</v>
      </c>
      <c r="F39" s="72"/>
      <c r="G39" s="72">
        <f>G34/G26%</f>
        <v>34.017498840469777</v>
      </c>
      <c r="H39" s="51"/>
      <c r="I39" s="51"/>
      <c r="J39" s="27"/>
    </row>
    <row r="40" spans="1:10" ht="15.75" hidden="1" x14ac:dyDescent="0.25">
      <c r="A40" s="21" t="s">
        <v>31</v>
      </c>
      <c r="B40" s="46" t="s">
        <v>8</v>
      </c>
      <c r="C40" s="74">
        <f>C41+C44+C48</f>
        <v>686710.46074706502</v>
      </c>
      <c r="D40" s="74">
        <f>D41+D44+D48</f>
        <v>332930.7162940728</v>
      </c>
      <c r="E40" s="74">
        <f>E41+E44+E48</f>
        <v>773631.7903440689</v>
      </c>
      <c r="F40" s="74">
        <f>F41+F44+F48</f>
        <v>338796.70733025274</v>
      </c>
      <c r="G40" s="74">
        <f>G41+G44+G48</f>
        <v>748582.83557894686</v>
      </c>
      <c r="H40" s="13">
        <f t="shared" ref="H40:H47" si="12">F40/D40%</f>
        <v>101.76192545448362</v>
      </c>
      <c r="I40" s="13">
        <f t="shared" ref="I40:I41" si="13">F40/E40%</f>
        <v>43.793017758431901</v>
      </c>
      <c r="J40" s="79">
        <f>G40/C40%</f>
        <v>109.00996538840715</v>
      </c>
    </row>
    <row r="41" spans="1:10" ht="15.75" hidden="1" x14ac:dyDescent="0.25">
      <c r="A41" s="10" t="s">
        <v>32</v>
      </c>
      <c r="B41" s="46" t="s">
        <v>8</v>
      </c>
      <c r="C41" s="75">
        <f>SUM(C42:C43)</f>
        <v>176213.2440027846</v>
      </c>
      <c r="D41" s="75">
        <f>SUM(D42:D43)</f>
        <v>68003.022850247959</v>
      </c>
      <c r="E41" s="75">
        <f>SUM(E42:E43)</f>
        <v>194566.36148588409</v>
      </c>
      <c r="F41" s="75">
        <f>SUM(F42:F43)</f>
        <v>80399.724387326205</v>
      </c>
      <c r="G41" s="75">
        <f>SUM(G42:G43)</f>
        <v>199517.28720016981</v>
      </c>
      <c r="H41" s="13">
        <f t="shared" si="12"/>
        <v>118.22963306260297</v>
      </c>
      <c r="I41" s="13">
        <f t="shared" si="13"/>
        <v>41.322520384984045</v>
      </c>
      <c r="J41" s="79">
        <f t="shared" ref="J41" si="14">G41/C41%</f>
        <v>113.22491015318744</v>
      </c>
    </row>
    <row r="42" spans="1:10" ht="15.75" hidden="1" x14ac:dyDescent="0.25">
      <c r="A42" s="14" t="s">
        <v>10</v>
      </c>
      <c r="B42" s="44" t="s">
        <v>8</v>
      </c>
      <c r="C42" s="54">
        <f>C19*46.96%</f>
        <v>99117.655767490476</v>
      </c>
      <c r="D42" s="54">
        <f>D19*46.96%</f>
        <v>39475.236817558507</v>
      </c>
      <c r="E42" s="54">
        <f>E19*46.96%</f>
        <v>115803.36</v>
      </c>
      <c r="F42" s="54">
        <f>F19*46.96%</f>
        <v>48340.586200104801</v>
      </c>
      <c r="G42" s="54">
        <f>G19*46.96%</f>
        <v>120754.28571428571</v>
      </c>
      <c r="H42" s="20">
        <f t="shared" si="12"/>
        <v>122.45800176834659</v>
      </c>
      <c r="I42" s="20">
        <f>F42/E42%</f>
        <v>41.743681875987711</v>
      </c>
      <c r="J42" s="80">
        <f>G42/C42%</f>
        <v>121.82923897791761</v>
      </c>
    </row>
    <row r="43" spans="1:10" ht="15.75" hidden="1" x14ac:dyDescent="0.25">
      <c r="A43" s="14" t="s">
        <v>11</v>
      </c>
      <c r="B43" s="44" t="s">
        <v>8</v>
      </c>
      <c r="C43" s="54">
        <f>C20*23.3%</f>
        <v>77095.588235294112</v>
      </c>
      <c r="D43" s="54">
        <f>D20*23.3%</f>
        <v>28527.786032689448</v>
      </c>
      <c r="E43" s="54">
        <f>E20*23.3%</f>
        <v>78763.001485884088</v>
      </c>
      <c r="F43" s="54">
        <f>F20*23.3%</f>
        <v>32059.138187221401</v>
      </c>
      <c r="G43" s="54">
        <f>G20*23.3%</f>
        <v>78763.001485884088</v>
      </c>
      <c r="H43" s="20">
        <f t="shared" si="12"/>
        <v>112.37864077669904</v>
      </c>
      <c r="I43" s="20">
        <f t="shared" ref="I43:I45" si="15">F43/E43%</f>
        <v>40.703296703296715</v>
      </c>
      <c r="J43" s="80">
        <f t="shared" ref="J43:J44" si="16">G43/C43%</f>
        <v>102.16278685818061</v>
      </c>
    </row>
    <row r="44" spans="1:10" ht="15.75" hidden="1" x14ac:dyDescent="0.25">
      <c r="A44" s="10" t="s">
        <v>33</v>
      </c>
      <c r="B44" s="46" t="s">
        <v>8</v>
      </c>
      <c r="C44" s="76">
        <f>SUM(C45:C47)</f>
        <v>205629.56277777778</v>
      </c>
      <c r="D44" s="76">
        <f>SUM(D45:D47)</f>
        <v>90935.327636053844</v>
      </c>
      <c r="E44" s="76">
        <f>SUM(E45:E47)</f>
        <v>217837.75888888887</v>
      </c>
      <c r="F44" s="76">
        <f>SUM(F45:F47)</f>
        <v>96540.503051992622</v>
      </c>
      <c r="G44" s="76">
        <f>SUM(G45:G47)</f>
        <v>218296.87232243907</v>
      </c>
      <c r="H44" s="13">
        <f t="shared" si="12"/>
        <v>106.16391402730973</v>
      </c>
      <c r="I44" s="13">
        <f t="shared" si="15"/>
        <v>44.317616718245084</v>
      </c>
      <c r="J44" s="79">
        <f t="shared" si="16"/>
        <v>106.16025700465586</v>
      </c>
    </row>
    <row r="45" spans="1:10" ht="15.75" hidden="1" x14ac:dyDescent="0.25">
      <c r="A45" s="14" t="s">
        <v>13</v>
      </c>
      <c r="B45" s="44" t="s">
        <v>8</v>
      </c>
      <c r="C45" s="54">
        <f>C22*48.5%</f>
        <v>136098.27499999999</v>
      </c>
      <c r="D45" s="54">
        <f>D22*48.5%</f>
        <v>58402.94459511817</v>
      </c>
      <c r="E45" s="54">
        <f>E22*48.5%</f>
        <v>141769.38</v>
      </c>
      <c r="F45" s="54">
        <f>F22*48.5%</f>
        <v>59831.073227431225</v>
      </c>
      <c r="G45" s="54">
        <f>G22*48.5%</f>
        <v>141260.48951048951</v>
      </c>
      <c r="H45" s="20">
        <f t="shared" si="12"/>
        <v>102.44530244530243</v>
      </c>
      <c r="I45" s="20">
        <f t="shared" si="15"/>
        <v>42.203100011745292</v>
      </c>
      <c r="J45" s="80">
        <f>G45/C45%</f>
        <v>103.79300509906501</v>
      </c>
    </row>
    <row r="46" spans="1:10" ht="15.75" hidden="1" x14ac:dyDescent="0.25">
      <c r="A46" s="14" t="s">
        <v>14</v>
      </c>
      <c r="B46" s="44" t="s">
        <v>8</v>
      </c>
      <c r="C46" s="54">
        <f>C23/1.8</f>
        <v>61437.777777777774</v>
      </c>
      <c r="D46" s="54">
        <f>D23/1.8</f>
        <v>27777.777777777777</v>
      </c>
      <c r="E46" s="54">
        <f>E23/1.8</f>
        <v>67663.888888888891</v>
      </c>
      <c r="F46" s="54">
        <f>F23/1.8</f>
        <v>31666.666666666664</v>
      </c>
      <c r="G46" s="54">
        <f>G23/1.8</f>
        <v>68607.764390896918</v>
      </c>
      <c r="H46" s="20">
        <f t="shared" si="12"/>
        <v>114</v>
      </c>
      <c r="I46" s="45">
        <f>F46/E46%</f>
        <v>46.799950736893955</v>
      </c>
      <c r="J46" s="80">
        <f t="shared" ref="J46:J48" si="17">G46/C46%</f>
        <v>111.67032219012412</v>
      </c>
    </row>
    <row r="47" spans="1:10" ht="15.75" hidden="1" x14ac:dyDescent="0.25">
      <c r="A47" s="14" t="s">
        <v>15</v>
      </c>
      <c r="B47" s="44" t="s">
        <v>8</v>
      </c>
      <c r="C47" s="54">
        <f>C24*73%</f>
        <v>8093.51</v>
      </c>
      <c r="D47" s="54">
        <f>D24*73%</f>
        <v>4754.6052631578941</v>
      </c>
      <c r="E47" s="54">
        <f>E24*73%</f>
        <v>8404.49</v>
      </c>
      <c r="F47" s="54">
        <f>F24*73%</f>
        <v>5042.7631578947367</v>
      </c>
      <c r="G47" s="54">
        <f>G24*73%</f>
        <v>8428.6184210526317</v>
      </c>
      <c r="H47" s="20">
        <f t="shared" si="12"/>
        <v>106.06060606060608</v>
      </c>
      <c r="I47" s="45">
        <f t="shared" ref="I47:I48" si="18">F47/E47%</f>
        <v>60.00082286842791</v>
      </c>
      <c r="J47" s="80">
        <f t="shared" si="17"/>
        <v>104.14045847911019</v>
      </c>
    </row>
    <row r="48" spans="1:10" ht="15.75" hidden="1" x14ac:dyDescent="0.25">
      <c r="A48" s="21" t="s">
        <v>34</v>
      </c>
      <c r="B48" s="46" t="s">
        <v>8</v>
      </c>
      <c r="C48" s="58">
        <f>C25*70.208%</f>
        <v>304867.65396650269</v>
      </c>
      <c r="D48" s="58">
        <f>D25*70.208%</f>
        <v>173992.36580777096</v>
      </c>
      <c r="E48" s="58">
        <f>E25*70.208%</f>
        <v>361227.66996929597</v>
      </c>
      <c r="F48" s="58">
        <f>F25*70.208%</f>
        <v>161856.47989093387</v>
      </c>
      <c r="G48" s="58">
        <f>G25*70.208%</f>
        <v>330768.67605633807</v>
      </c>
      <c r="H48" s="13">
        <f>F48/D48%</f>
        <v>93.02504689760643</v>
      </c>
      <c r="I48" s="47">
        <f t="shared" si="18"/>
        <v>44.807331593587925</v>
      </c>
      <c r="J48" s="79">
        <f t="shared" si="17"/>
        <v>108.49582491053027</v>
      </c>
    </row>
    <row r="49" spans="1:10" ht="15.75" x14ac:dyDescent="0.25">
      <c r="A49" s="21" t="s">
        <v>35</v>
      </c>
      <c r="B49" s="46"/>
      <c r="C49" s="128"/>
      <c r="D49" s="129"/>
      <c r="E49" s="129"/>
      <c r="F49" s="129"/>
      <c r="G49" s="129"/>
      <c r="H49" s="129"/>
      <c r="I49" s="66"/>
      <c r="J49" s="86"/>
    </row>
    <row r="50" spans="1:10" ht="15.75" x14ac:dyDescent="0.25">
      <c r="A50" s="10" t="s">
        <v>36</v>
      </c>
      <c r="B50" s="46" t="s">
        <v>8</v>
      </c>
      <c r="C50" s="130">
        <v>42859</v>
      </c>
      <c r="D50" s="131">
        <f t="shared" ref="D50" si="19">D52+D53+D54</f>
        <v>12295</v>
      </c>
      <c r="E50" s="130">
        <f>E52+E53+E54</f>
        <v>25500</v>
      </c>
      <c r="F50" s="130">
        <f>F52+F53+F54</f>
        <v>12000</v>
      </c>
      <c r="G50" s="130">
        <f t="shared" ref="G50" si="20">G52+G53+G54</f>
        <v>20500</v>
      </c>
      <c r="H50" s="313"/>
      <c r="I50" s="314"/>
      <c r="J50" s="94"/>
    </row>
    <row r="51" spans="1:10" ht="15.75" x14ac:dyDescent="0.25">
      <c r="A51" s="26" t="s">
        <v>37</v>
      </c>
      <c r="B51" s="11"/>
      <c r="C51" s="132"/>
      <c r="D51" s="133"/>
      <c r="E51" s="132"/>
      <c r="F51" s="133"/>
      <c r="G51" s="133"/>
      <c r="H51" s="313"/>
      <c r="I51" s="314"/>
      <c r="J51" s="95"/>
    </row>
    <row r="52" spans="1:10" ht="15.75" x14ac:dyDescent="0.25">
      <c r="A52" s="28" t="s">
        <v>38</v>
      </c>
      <c r="B52" s="29" t="s">
        <v>8</v>
      </c>
      <c r="C52" s="132">
        <v>15666</v>
      </c>
      <c r="D52" s="133">
        <v>430</v>
      </c>
      <c r="E52" s="132">
        <v>2016</v>
      </c>
      <c r="F52" s="133">
        <v>1610</v>
      </c>
      <c r="G52" s="133">
        <v>2500</v>
      </c>
      <c r="H52" s="313"/>
      <c r="I52" s="314"/>
      <c r="J52" s="97"/>
    </row>
    <row r="53" spans="1:10" ht="15.75" x14ac:dyDescent="0.25">
      <c r="A53" s="28" t="s">
        <v>39</v>
      </c>
      <c r="B53" s="29" t="s">
        <v>8</v>
      </c>
      <c r="C53" s="132">
        <v>19923</v>
      </c>
      <c r="D53" s="133">
        <v>8870</v>
      </c>
      <c r="E53" s="132">
        <v>16500</v>
      </c>
      <c r="F53" s="133">
        <v>6200</v>
      </c>
      <c r="G53" s="133">
        <v>11500</v>
      </c>
      <c r="H53" s="313"/>
      <c r="I53" s="314"/>
      <c r="J53" s="97"/>
    </row>
    <row r="54" spans="1:10" ht="15.75" x14ac:dyDescent="0.25">
      <c r="A54" s="30" t="s">
        <v>40</v>
      </c>
      <c r="B54" s="29" t="s">
        <v>8</v>
      </c>
      <c r="C54" s="132">
        <f>C50-C52-C53</f>
        <v>7270</v>
      </c>
      <c r="D54" s="133">
        <v>2995</v>
      </c>
      <c r="E54" s="132">
        <v>6984</v>
      </c>
      <c r="F54" s="133">
        <v>4190</v>
      </c>
      <c r="G54" s="133">
        <v>6500</v>
      </c>
      <c r="H54" s="313"/>
      <c r="I54" s="314"/>
      <c r="J54" s="97"/>
    </row>
    <row r="55" spans="1:10" ht="15.75" x14ac:dyDescent="0.25">
      <c r="A55" s="10" t="s">
        <v>41</v>
      </c>
      <c r="B55" s="11" t="s">
        <v>8</v>
      </c>
      <c r="C55" s="134">
        <v>243477</v>
      </c>
      <c r="D55" s="131">
        <v>117936</v>
      </c>
      <c r="E55" s="130">
        <v>233776</v>
      </c>
      <c r="F55" s="131">
        <v>131562</v>
      </c>
      <c r="G55" s="131">
        <v>233776</v>
      </c>
      <c r="H55" s="313"/>
      <c r="I55" s="314"/>
      <c r="J55" s="94"/>
    </row>
    <row r="56" spans="1:10" s="113" customFormat="1" ht="15.75" x14ac:dyDescent="0.25">
      <c r="A56" s="10" t="s">
        <v>42</v>
      </c>
      <c r="B56" s="11" t="s">
        <v>8</v>
      </c>
      <c r="C56" s="134">
        <f>C57+C62</f>
        <v>288288</v>
      </c>
      <c r="D56" s="135">
        <f>D57+D62</f>
        <v>119654</v>
      </c>
      <c r="E56" s="130">
        <f>E57+E62</f>
        <v>290207</v>
      </c>
      <c r="F56" s="130">
        <f>F57+F62</f>
        <v>136633</v>
      </c>
      <c r="G56" s="135">
        <f t="shared" ref="G56" si="21">G57+G62</f>
        <v>280207</v>
      </c>
      <c r="H56" s="313"/>
      <c r="I56" s="314"/>
      <c r="J56" s="94"/>
    </row>
    <row r="57" spans="1:10" s="113" customFormat="1" ht="15.75" x14ac:dyDescent="0.25">
      <c r="A57" s="31" t="s">
        <v>43</v>
      </c>
      <c r="B57" s="29" t="s">
        <v>8</v>
      </c>
      <c r="C57" s="132">
        <f>C58+C60</f>
        <v>41076</v>
      </c>
      <c r="D57" s="132">
        <f t="shared" ref="D57:G57" si="22">D58+D60</f>
        <v>11907</v>
      </c>
      <c r="E57" s="132">
        <f t="shared" si="22"/>
        <v>37358</v>
      </c>
      <c r="F57" s="132">
        <f>F58+F60</f>
        <v>23540</v>
      </c>
      <c r="G57" s="132">
        <f t="shared" si="22"/>
        <v>37358</v>
      </c>
      <c r="H57" s="313"/>
      <c r="I57" s="314"/>
      <c r="J57" s="97"/>
    </row>
    <row r="58" spans="1:10" s="113" customFormat="1" ht="15.75" x14ac:dyDescent="0.25">
      <c r="A58" s="31" t="s">
        <v>44</v>
      </c>
      <c r="B58" s="29" t="s">
        <v>8</v>
      </c>
      <c r="C58" s="136">
        <v>15000</v>
      </c>
      <c r="D58" s="137">
        <v>1000</v>
      </c>
      <c r="E58" s="138">
        <v>4090</v>
      </c>
      <c r="F58" s="133">
        <f t="shared" ref="F58:F59" si="23">E58*50%</f>
        <v>2045</v>
      </c>
      <c r="G58" s="138">
        <v>4090</v>
      </c>
      <c r="H58" s="313"/>
      <c r="I58" s="314"/>
      <c r="J58" s="97"/>
    </row>
    <row r="59" spans="1:10" s="113" customFormat="1" ht="15.75" x14ac:dyDescent="0.25">
      <c r="A59" s="87" t="s">
        <v>45</v>
      </c>
      <c r="B59" s="29" t="s">
        <v>8</v>
      </c>
      <c r="C59" s="136">
        <v>15000</v>
      </c>
      <c r="D59" s="137">
        <v>1000</v>
      </c>
      <c r="E59" s="138">
        <v>4090</v>
      </c>
      <c r="F59" s="133">
        <f t="shared" si="23"/>
        <v>2045</v>
      </c>
      <c r="G59" s="138">
        <v>4090</v>
      </c>
      <c r="H59" s="313"/>
      <c r="I59" s="314"/>
      <c r="J59" s="100"/>
    </row>
    <row r="60" spans="1:10" s="113" customFormat="1" ht="15.75" x14ac:dyDescent="0.25">
      <c r="A60" s="31" t="s">
        <v>46</v>
      </c>
      <c r="B60" s="29" t="s">
        <v>8</v>
      </c>
      <c r="C60" s="136">
        <v>26076</v>
      </c>
      <c r="D60" s="137">
        <v>10907</v>
      </c>
      <c r="E60" s="138">
        <v>33268</v>
      </c>
      <c r="F60" s="133">
        <v>21495</v>
      </c>
      <c r="G60" s="138">
        <v>33268</v>
      </c>
      <c r="H60" s="313"/>
      <c r="I60" s="314"/>
      <c r="J60" s="100"/>
    </row>
    <row r="61" spans="1:10" s="113" customFormat="1" ht="15.75" x14ac:dyDescent="0.25">
      <c r="A61" s="31" t="s">
        <v>47</v>
      </c>
      <c r="B61" s="29" t="s">
        <v>8</v>
      </c>
      <c r="C61" s="136"/>
      <c r="D61" s="137"/>
      <c r="E61" s="138"/>
      <c r="F61" s="137"/>
      <c r="G61" s="138"/>
      <c r="H61" s="139"/>
      <c r="I61" s="99"/>
      <c r="J61" s="100"/>
    </row>
    <row r="62" spans="1:10" s="113" customFormat="1" ht="15.75" x14ac:dyDescent="0.25">
      <c r="A62" s="31" t="s">
        <v>48</v>
      </c>
      <c r="B62" s="29" t="s">
        <v>8</v>
      </c>
      <c r="C62" s="136">
        <v>247212</v>
      </c>
      <c r="D62" s="137">
        <v>107747</v>
      </c>
      <c r="E62" s="136">
        <v>252849</v>
      </c>
      <c r="F62" s="137">
        <v>113093</v>
      </c>
      <c r="G62" s="136">
        <v>242849</v>
      </c>
      <c r="H62" s="137"/>
      <c r="I62" s="96"/>
      <c r="J62" s="97"/>
    </row>
    <row r="63" spans="1:10" ht="15.75" hidden="1" x14ac:dyDescent="0.25">
      <c r="A63" s="31" t="s">
        <v>49</v>
      </c>
      <c r="B63" s="29" t="s">
        <v>8</v>
      </c>
      <c r="C63" s="159"/>
      <c r="D63" s="159"/>
      <c r="E63" s="159"/>
      <c r="F63" s="159"/>
      <c r="G63" s="158"/>
      <c r="H63" s="135"/>
      <c r="I63" s="101"/>
      <c r="J63" s="100"/>
    </row>
    <row r="64" spans="1:10" ht="15.75" hidden="1" x14ac:dyDescent="0.25">
      <c r="A64" s="31" t="s">
        <v>50</v>
      </c>
      <c r="B64" s="29" t="s">
        <v>8</v>
      </c>
      <c r="C64" s="159"/>
      <c r="D64" s="159"/>
      <c r="E64" s="159"/>
      <c r="F64" s="159"/>
      <c r="G64" s="158"/>
      <c r="H64" s="135"/>
      <c r="I64" s="101"/>
      <c r="J64" s="100"/>
    </row>
    <row r="65" spans="1:11" ht="15.75" hidden="1" x14ac:dyDescent="0.25">
      <c r="A65" s="31" t="s">
        <v>51</v>
      </c>
      <c r="B65" s="29" t="s">
        <v>8</v>
      </c>
      <c r="C65" s="160"/>
      <c r="D65" s="160"/>
      <c r="E65" s="160"/>
      <c r="F65" s="160"/>
      <c r="G65" s="158"/>
      <c r="H65" s="135"/>
      <c r="I65" s="101"/>
      <c r="J65" s="100"/>
    </row>
    <row r="66" spans="1:11" ht="15.75" x14ac:dyDescent="0.25">
      <c r="A66" s="10" t="s">
        <v>52</v>
      </c>
      <c r="B66" s="11" t="s">
        <v>8</v>
      </c>
      <c r="C66" s="140">
        <f>SUM(C67:C70)</f>
        <v>450000</v>
      </c>
      <c r="D66" s="141">
        <f t="shared" ref="D66" si="24">SUM(D67:D70)</f>
        <v>164800</v>
      </c>
      <c r="E66" s="140">
        <f>SUM(E67:E70)</f>
        <v>455000</v>
      </c>
      <c r="F66" s="140">
        <f>SUM(F67:F70)</f>
        <v>182000</v>
      </c>
      <c r="G66" s="140">
        <f t="shared" ref="G66" si="25">SUM(G67:G70)</f>
        <v>455000</v>
      </c>
      <c r="H66" s="140"/>
      <c r="I66" s="98"/>
      <c r="J66" s="94"/>
    </row>
    <row r="67" spans="1:11" ht="15.75" x14ac:dyDescent="0.25">
      <c r="A67" s="31" t="s">
        <v>53</v>
      </c>
      <c r="B67" s="29" t="s">
        <v>8</v>
      </c>
      <c r="C67" s="142">
        <v>328000</v>
      </c>
      <c r="D67" s="143">
        <v>115500</v>
      </c>
      <c r="E67" s="142">
        <v>306000</v>
      </c>
      <c r="F67" s="139">
        <f>E67*40%</f>
        <v>122400</v>
      </c>
      <c r="G67" s="142">
        <v>306000</v>
      </c>
      <c r="H67" s="142"/>
      <c r="I67" s="96"/>
      <c r="J67" s="97"/>
    </row>
    <row r="68" spans="1:11" ht="15.75" x14ac:dyDescent="0.25">
      <c r="A68" s="31" t="s">
        <v>54</v>
      </c>
      <c r="B68" s="29" t="s">
        <v>8</v>
      </c>
      <c r="C68" s="142">
        <v>34000</v>
      </c>
      <c r="D68" s="143">
        <v>12600</v>
      </c>
      <c r="E68" s="142">
        <v>40000</v>
      </c>
      <c r="F68" s="139">
        <f t="shared" ref="F68:F70" si="26">E68*40%</f>
        <v>16000</v>
      </c>
      <c r="G68" s="142">
        <v>40000</v>
      </c>
      <c r="H68" s="142"/>
      <c r="I68" s="96"/>
      <c r="J68" s="97"/>
      <c r="K68" s="114"/>
    </row>
    <row r="69" spans="1:11" ht="15.75" x14ac:dyDescent="0.25">
      <c r="A69" s="31" t="s">
        <v>55</v>
      </c>
      <c r="B69" s="29" t="s">
        <v>8</v>
      </c>
      <c r="C69" s="142">
        <v>12000</v>
      </c>
      <c r="D69" s="143">
        <v>4900</v>
      </c>
      <c r="E69" s="142">
        <v>29000</v>
      </c>
      <c r="F69" s="139">
        <f t="shared" si="26"/>
        <v>11600</v>
      </c>
      <c r="G69" s="142">
        <v>29000</v>
      </c>
      <c r="H69" s="142"/>
      <c r="I69" s="96"/>
      <c r="J69" s="97"/>
    </row>
    <row r="70" spans="1:11" ht="15.75" x14ac:dyDescent="0.25">
      <c r="A70" s="31" t="s">
        <v>56</v>
      </c>
      <c r="B70" s="29" t="s">
        <v>8</v>
      </c>
      <c r="C70" s="142">
        <v>76000</v>
      </c>
      <c r="D70" s="143">
        <v>31800</v>
      </c>
      <c r="E70" s="142">
        <v>80000</v>
      </c>
      <c r="F70" s="139">
        <f t="shared" si="26"/>
        <v>32000</v>
      </c>
      <c r="G70" s="142">
        <v>80000</v>
      </c>
      <c r="H70" s="142"/>
      <c r="I70" s="96"/>
      <c r="J70" s="97"/>
    </row>
    <row r="71" spans="1:11" ht="15.75" x14ac:dyDescent="0.25">
      <c r="A71" s="5" t="s">
        <v>57</v>
      </c>
      <c r="B71" s="29"/>
      <c r="C71" s="144"/>
      <c r="D71" s="144"/>
      <c r="E71" s="6"/>
      <c r="F71" s="6"/>
      <c r="G71" s="6"/>
      <c r="H71" s="6"/>
      <c r="I71" s="102"/>
      <c r="J71" s="103"/>
    </row>
    <row r="72" spans="1:11" ht="15.75" x14ac:dyDescent="0.25">
      <c r="A72" s="31" t="s">
        <v>58</v>
      </c>
      <c r="B72" s="29" t="s">
        <v>59</v>
      </c>
      <c r="C72" s="145">
        <v>28.357583200000001</v>
      </c>
      <c r="D72" s="145">
        <f>C72*92%</f>
        <v>26.088976544000001</v>
      </c>
      <c r="E72" s="145">
        <v>28.8</v>
      </c>
      <c r="F72" s="145">
        <v>27.5</v>
      </c>
      <c r="G72" s="145">
        <v>28.8</v>
      </c>
      <c r="H72" s="145"/>
      <c r="I72" s="111"/>
      <c r="J72" s="103"/>
    </row>
    <row r="73" spans="1:11" ht="15.75" x14ac:dyDescent="0.25">
      <c r="A73" s="30" t="s">
        <v>60</v>
      </c>
      <c r="B73" s="29" t="s">
        <v>59</v>
      </c>
      <c r="C73" s="145">
        <v>4.35358</v>
      </c>
      <c r="D73" s="145">
        <f t="shared" ref="D73:D77" si="27">C73*92%</f>
        <v>4.0052935999999999</v>
      </c>
      <c r="E73" s="145">
        <v>4.32</v>
      </c>
      <c r="F73" s="145">
        <v>4.12</v>
      </c>
      <c r="G73" s="145">
        <v>4.32</v>
      </c>
      <c r="H73" s="145"/>
      <c r="I73" s="111"/>
      <c r="J73" s="103"/>
    </row>
    <row r="74" spans="1:11" ht="15.75" x14ac:dyDescent="0.25">
      <c r="A74" s="161" t="s">
        <v>61</v>
      </c>
      <c r="B74" s="29" t="s">
        <v>59</v>
      </c>
      <c r="C74" s="145">
        <v>24.0040032</v>
      </c>
      <c r="D74" s="145">
        <f t="shared" si="27"/>
        <v>22.083682944</v>
      </c>
      <c r="E74" s="145">
        <v>24.48</v>
      </c>
      <c r="F74" s="145">
        <f>F72-F73</f>
        <v>23.38</v>
      </c>
      <c r="G74" s="145">
        <v>24.48</v>
      </c>
      <c r="H74" s="145"/>
      <c r="I74" s="111"/>
      <c r="J74" s="105"/>
    </row>
    <row r="75" spans="1:11" ht="15.75" x14ac:dyDescent="0.25">
      <c r="A75" s="31" t="s">
        <v>62</v>
      </c>
      <c r="B75" s="29" t="s">
        <v>59</v>
      </c>
      <c r="C75" s="145">
        <v>13.157918604799999</v>
      </c>
      <c r="D75" s="145">
        <f t="shared" si="27"/>
        <v>12.105285116415999</v>
      </c>
      <c r="E75" s="145">
        <v>13.363199999999999</v>
      </c>
      <c r="F75" s="145">
        <v>12.294144000000001</v>
      </c>
      <c r="G75" s="145">
        <v>13.363199999999999</v>
      </c>
      <c r="H75" s="145"/>
      <c r="I75" s="111"/>
      <c r="J75" s="103"/>
    </row>
    <row r="76" spans="1:11" ht="15.75" x14ac:dyDescent="0.25">
      <c r="A76" s="31" t="s">
        <v>63</v>
      </c>
      <c r="B76" s="29" t="s">
        <v>27</v>
      </c>
      <c r="C76" s="145">
        <f>C73/C72%</f>
        <v>15.352436663220297</v>
      </c>
      <c r="D76" s="145">
        <f t="shared" si="27"/>
        <v>14.124241730162675</v>
      </c>
      <c r="E76" s="145">
        <f>E73/E72%</f>
        <v>15</v>
      </c>
      <c r="F76" s="145">
        <f>F73/F72%</f>
        <v>14.981818181818181</v>
      </c>
      <c r="G76" s="145">
        <f t="shared" ref="G76" si="28">G73/G72%</f>
        <v>15</v>
      </c>
      <c r="H76" s="145"/>
      <c r="I76" s="110"/>
      <c r="J76" s="103"/>
    </row>
    <row r="77" spans="1:11" ht="15.75" x14ac:dyDescent="0.25">
      <c r="A77" s="31" t="s">
        <v>64</v>
      </c>
      <c r="B77" s="29" t="s">
        <v>65</v>
      </c>
      <c r="C77" s="146">
        <v>6999</v>
      </c>
      <c r="D77" s="146">
        <f t="shared" si="27"/>
        <v>6439.08</v>
      </c>
      <c r="E77" s="146">
        <v>7129</v>
      </c>
      <c r="F77" s="146">
        <f t="shared" ref="F77" si="29">E77*92%</f>
        <v>6558.68</v>
      </c>
      <c r="G77" s="146">
        <v>7129</v>
      </c>
      <c r="H77" s="146"/>
      <c r="I77" s="110"/>
      <c r="J77" s="103"/>
    </row>
    <row r="78" spans="1:11" ht="15.75" x14ac:dyDescent="0.25">
      <c r="A78" s="31" t="s">
        <v>66</v>
      </c>
      <c r="B78" s="29" t="s">
        <v>27</v>
      </c>
      <c r="C78" s="147">
        <v>1.87</v>
      </c>
      <c r="D78" s="148"/>
      <c r="E78" s="147">
        <v>1.58</v>
      </c>
      <c r="F78" s="148"/>
      <c r="G78" s="149">
        <v>1.5</v>
      </c>
      <c r="H78" s="149"/>
      <c r="I78" s="106"/>
      <c r="J78" s="103"/>
    </row>
    <row r="79" spans="1:11" ht="15.75" x14ac:dyDescent="0.25">
      <c r="A79" s="31" t="s">
        <v>67</v>
      </c>
      <c r="B79" s="29" t="s">
        <v>68</v>
      </c>
      <c r="C79" s="146">
        <v>510</v>
      </c>
      <c r="D79" s="146">
        <v>242</v>
      </c>
      <c r="E79" s="146">
        <v>520</v>
      </c>
      <c r="F79" s="146">
        <v>0</v>
      </c>
      <c r="G79" s="146">
        <v>520</v>
      </c>
      <c r="H79" s="146"/>
      <c r="I79" s="104"/>
      <c r="J79" s="103"/>
    </row>
    <row r="80" spans="1:11" ht="15.75" x14ac:dyDescent="0.25">
      <c r="A80" s="37" t="s">
        <v>69</v>
      </c>
      <c r="B80" s="38" t="s">
        <v>70</v>
      </c>
      <c r="C80" s="146">
        <v>429</v>
      </c>
      <c r="D80" s="146">
        <v>209</v>
      </c>
      <c r="E80" s="146">
        <v>430</v>
      </c>
      <c r="F80" s="146">
        <v>150</v>
      </c>
      <c r="G80" s="146">
        <v>430</v>
      </c>
      <c r="H80" s="146"/>
      <c r="I80" s="104"/>
      <c r="J80" s="103"/>
    </row>
    <row r="81" spans="1:10" ht="15.75" x14ac:dyDescent="0.25">
      <c r="A81" s="32" t="s">
        <v>71</v>
      </c>
      <c r="B81" s="29" t="s">
        <v>27</v>
      </c>
      <c r="C81" s="150">
        <v>5.4</v>
      </c>
      <c r="D81" s="150"/>
      <c r="E81" s="150" t="s">
        <v>88</v>
      </c>
      <c r="F81" s="150">
        <v>5.4</v>
      </c>
      <c r="G81" s="150" t="s">
        <v>88</v>
      </c>
      <c r="H81" s="150"/>
      <c r="I81" s="104"/>
      <c r="J81" s="103"/>
    </row>
    <row r="82" spans="1:10" ht="15.75" x14ac:dyDescent="0.25">
      <c r="A82" s="32" t="s">
        <v>72</v>
      </c>
      <c r="B82" s="29" t="s">
        <v>27</v>
      </c>
      <c r="C82" s="151">
        <v>10.199999999999999</v>
      </c>
      <c r="D82" s="152" t="s">
        <v>81</v>
      </c>
      <c r="E82" s="151" t="s">
        <v>193</v>
      </c>
      <c r="F82" s="152">
        <v>10.199999999999999</v>
      </c>
      <c r="G82" s="151" t="s">
        <v>193</v>
      </c>
      <c r="H82" s="151"/>
      <c r="I82" s="104"/>
      <c r="J82" s="103"/>
    </row>
    <row r="83" spans="1:10" ht="15.75" x14ac:dyDescent="0.25">
      <c r="A83" s="32" t="s">
        <v>73</v>
      </c>
      <c r="B83" s="29" t="s">
        <v>27</v>
      </c>
      <c r="C83" s="153">
        <v>94.65</v>
      </c>
      <c r="D83" s="152">
        <v>92</v>
      </c>
      <c r="E83" s="151">
        <v>95</v>
      </c>
      <c r="F83" s="152">
        <v>95.35</v>
      </c>
      <c r="G83" s="151">
        <v>95</v>
      </c>
      <c r="H83" s="151"/>
      <c r="I83" s="107"/>
      <c r="J83" s="103"/>
    </row>
    <row r="84" spans="1:10" ht="15.75" x14ac:dyDescent="0.25">
      <c r="A84" s="31" t="s">
        <v>74</v>
      </c>
      <c r="B84" s="29" t="s">
        <v>27</v>
      </c>
      <c r="C84" s="154">
        <v>47.4</v>
      </c>
      <c r="D84" s="155">
        <v>47.8</v>
      </c>
      <c r="E84" s="154">
        <v>74</v>
      </c>
      <c r="F84" s="155">
        <v>47.9</v>
      </c>
      <c r="G84" s="154">
        <v>74</v>
      </c>
      <c r="H84" s="154"/>
      <c r="I84" s="104"/>
      <c r="J84" s="103"/>
    </row>
    <row r="85" spans="1:10" ht="15.75" x14ac:dyDescent="0.25">
      <c r="A85" s="31" t="s">
        <v>75</v>
      </c>
      <c r="B85" s="29" t="s">
        <v>27</v>
      </c>
      <c r="C85" s="154">
        <v>94</v>
      </c>
      <c r="D85" s="155">
        <v>91.2</v>
      </c>
      <c r="E85" s="154">
        <v>95</v>
      </c>
      <c r="F85" s="155">
        <v>94.5</v>
      </c>
      <c r="G85" s="154">
        <v>95</v>
      </c>
      <c r="H85" s="154"/>
      <c r="I85" s="104"/>
      <c r="J85" s="103"/>
    </row>
    <row r="86" spans="1:10" ht="16.5" thickBot="1" x14ac:dyDescent="0.3">
      <c r="A86" s="39" t="s">
        <v>76</v>
      </c>
      <c r="B86" s="40" t="s">
        <v>27</v>
      </c>
      <c r="C86" s="156">
        <v>83.4</v>
      </c>
      <c r="D86" s="157">
        <v>83.3</v>
      </c>
      <c r="E86" s="156">
        <v>83.4</v>
      </c>
      <c r="F86" s="156">
        <v>83.4</v>
      </c>
      <c r="G86" s="156">
        <v>83.4</v>
      </c>
      <c r="H86" s="156"/>
      <c r="I86" s="108"/>
      <c r="J86" s="109"/>
    </row>
    <row r="87" spans="1:10" ht="15.75" thickTop="1" x14ac:dyDescent="0.25"/>
  </sheetData>
  <mergeCells count="10">
    <mergeCell ref="A1:J1"/>
    <mergeCell ref="G4:G5"/>
    <mergeCell ref="H4:J4"/>
    <mergeCell ref="A2:J2"/>
    <mergeCell ref="A3:J3"/>
    <mergeCell ref="A4:A5"/>
    <mergeCell ref="B4:B5"/>
    <mergeCell ref="C4:C5"/>
    <mergeCell ref="D4:D5"/>
    <mergeCell ref="E4:F4"/>
  </mergeCells>
  <pageMargins left="0.70866141732283505" right="0.70866141732283505" top="0.74803149606299202" bottom="0.74803149606299202" header="0.31496062992126" footer="0.31496062992126"/>
  <pageSetup paperSize="9" scale="87" orientation="landscape" r:id="rId1"/>
  <headerFooter>
    <oddFooter>&amp;CTrang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workbookViewId="0">
      <selection activeCell="A3" sqref="A3:K3"/>
    </sheetView>
  </sheetViews>
  <sheetFormatPr defaultRowHeight="14.25" x14ac:dyDescent="0.2"/>
  <cols>
    <col min="1" max="1" width="36.375" customWidth="1"/>
    <col min="2" max="2" width="9.375" customWidth="1"/>
    <col min="3" max="3" width="10.375" customWidth="1"/>
    <col min="4" max="4" width="11" customWidth="1"/>
    <col min="5" max="5" width="10.125" customWidth="1"/>
    <col min="6" max="6" width="11" customWidth="1"/>
    <col min="7" max="7" width="10.375" customWidth="1"/>
    <col min="8" max="8" width="8.875" customWidth="1"/>
    <col min="9" max="9" width="9.125" customWidth="1"/>
    <col min="10" max="10" width="10.75" customWidth="1"/>
    <col min="11" max="11" width="9.375" customWidth="1"/>
    <col min="13" max="14" width="8.125" bestFit="1" customWidth="1"/>
    <col min="257" max="257" width="30.375" customWidth="1"/>
    <col min="258" max="258" width="9.375" customWidth="1"/>
    <col min="259" max="259" width="10.375" customWidth="1"/>
    <col min="260" max="260" width="10" customWidth="1"/>
    <col min="261" max="261" width="10.125" customWidth="1"/>
    <col min="262" max="263" width="10.375" customWidth="1"/>
    <col min="264" max="264" width="8.375" customWidth="1"/>
    <col min="265" max="265" width="9" customWidth="1"/>
    <col min="266" max="266" width="10" customWidth="1"/>
    <col min="267" max="267" width="9.375" customWidth="1"/>
    <col min="269" max="270" width="8.125" bestFit="1" customWidth="1"/>
    <col min="513" max="513" width="30.375" customWidth="1"/>
    <col min="514" max="514" width="9.375" customWidth="1"/>
    <col min="515" max="515" width="10.375" customWidth="1"/>
    <col min="516" max="516" width="10" customWidth="1"/>
    <col min="517" max="517" width="10.125" customWidth="1"/>
    <col min="518" max="519" width="10.375" customWidth="1"/>
    <col min="520" max="520" width="8.375" customWidth="1"/>
    <col min="521" max="521" width="9" customWidth="1"/>
    <col min="522" max="522" width="10" customWidth="1"/>
    <col min="523" max="523" width="9.375" customWidth="1"/>
    <col min="525" max="526" width="8.125" bestFit="1" customWidth="1"/>
    <col min="769" max="769" width="30.375" customWidth="1"/>
    <col min="770" max="770" width="9.375" customWidth="1"/>
    <col min="771" max="771" width="10.375" customWidth="1"/>
    <col min="772" max="772" width="10" customWidth="1"/>
    <col min="773" max="773" width="10.125" customWidth="1"/>
    <col min="774" max="775" width="10.375" customWidth="1"/>
    <col min="776" max="776" width="8.375" customWidth="1"/>
    <col min="777" max="777" width="9" customWidth="1"/>
    <col min="778" max="778" width="10" customWidth="1"/>
    <col min="779" max="779" width="9.375" customWidth="1"/>
    <col min="781" max="782" width="8.125" bestFit="1" customWidth="1"/>
    <col min="1025" max="1025" width="30.375" customWidth="1"/>
    <col min="1026" max="1026" width="9.375" customWidth="1"/>
    <col min="1027" max="1027" width="10.375" customWidth="1"/>
    <col min="1028" max="1028" width="10" customWidth="1"/>
    <col min="1029" max="1029" width="10.125" customWidth="1"/>
    <col min="1030" max="1031" width="10.375" customWidth="1"/>
    <col min="1032" max="1032" width="8.375" customWidth="1"/>
    <col min="1033" max="1033" width="9" customWidth="1"/>
    <col min="1034" max="1034" width="10" customWidth="1"/>
    <col min="1035" max="1035" width="9.375" customWidth="1"/>
    <col min="1037" max="1038" width="8.125" bestFit="1" customWidth="1"/>
    <col min="1281" max="1281" width="30.375" customWidth="1"/>
    <col min="1282" max="1282" width="9.375" customWidth="1"/>
    <col min="1283" max="1283" width="10.375" customWidth="1"/>
    <col min="1284" max="1284" width="10" customWidth="1"/>
    <col min="1285" max="1285" width="10.125" customWidth="1"/>
    <col min="1286" max="1287" width="10.375" customWidth="1"/>
    <col min="1288" max="1288" width="8.375" customWidth="1"/>
    <col min="1289" max="1289" width="9" customWidth="1"/>
    <col min="1290" max="1290" width="10" customWidth="1"/>
    <col min="1291" max="1291" width="9.375" customWidth="1"/>
    <col min="1293" max="1294" width="8.125" bestFit="1" customWidth="1"/>
    <col min="1537" max="1537" width="30.375" customWidth="1"/>
    <col min="1538" max="1538" width="9.375" customWidth="1"/>
    <col min="1539" max="1539" width="10.375" customWidth="1"/>
    <col min="1540" max="1540" width="10" customWidth="1"/>
    <col min="1541" max="1541" width="10.125" customWidth="1"/>
    <col min="1542" max="1543" width="10.375" customWidth="1"/>
    <col min="1544" max="1544" width="8.375" customWidth="1"/>
    <col min="1545" max="1545" width="9" customWidth="1"/>
    <col min="1546" max="1546" width="10" customWidth="1"/>
    <col min="1547" max="1547" width="9.375" customWidth="1"/>
    <col min="1549" max="1550" width="8.125" bestFit="1" customWidth="1"/>
    <col min="1793" max="1793" width="30.375" customWidth="1"/>
    <col min="1794" max="1794" width="9.375" customWidth="1"/>
    <col min="1795" max="1795" width="10.375" customWidth="1"/>
    <col min="1796" max="1796" width="10" customWidth="1"/>
    <col min="1797" max="1797" width="10.125" customWidth="1"/>
    <col min="1798" max="1799" width="10.375" customWidth="1"/>
    <col min="1800" max="1800" width="8.375" customWidth="1"/>
    <col min="1801" max="1801" width="9" customWidth="1"/>
    <col min="1802" max="1802" width="10" customWidth="1"/>
    <col min="1803" max="1803" width="9.375" customWidth="1"/>
    <col min="1805" max="1806" width="8.125" bestFit="1" customWidth="1"/>
    <col min="2049" max="2049" width="30.375" customWidth="1"/>
    <col min="2050" max="2050" width="9.375" customWidth="1"/>
    <col min="2051" max="2051" width="10.375" customWidth="1"/>
    <col min="2052" max="2052" width="10" customWidth="1"/>
    <col min="2053" max="2053" width="10.125" customWidth="1"/>
    <col min="2054" max="2055" width="10.375" customWidth="1"/>
    <col min="2056" max="2056" width="8.375" customWidth="1"/>
    <col min="2057" max="2057" width="9" customWidth="1"/>
    <col min="2058" max="2058" width="10" customWidth="1"/>
    <col min="2059" max="2059" width="9.375" customWidth="1"/>
    <col min="2061" max="2062" width="8.125" bestFit="1" customWidth="1"/>
    <col min="2305" max="2305" width="30.375" customWidth="1"/>
    <col min="2306" max="2306" width="9.375" customWidth="1"/>
    <col min="2307" max="2307" width="10.375" customWidth="1"/>
    <col min="2308" max="2308" width="10" customWidth="1"/>
    <col min="2309" max="2309" width="10.125" customWidth="1"/>
    <col min="2310" max="2311" width="10.375" customWidth="1"/>
    <col min="2312" max="2312" width="8.375" customWidth="1"/>
    <col min="2313" max="2313" width="9" customWidth="1"/>
    <col min="2314" max="2314" width="10" customWidth="1"/>
    <col min="2315" max="2315" width="9.375" customWidth="1"/>
    <col min="2317" max="2318" width="8.125" bestFit="1" customWidth="1"/>
    <col min="2561" max="2561" width="30.375" customWidth="1"/>
    <col min="2562" max="2562" width="9.375" customWidth="1"/>
    <col min="2563" max="2563" width="10.375" customWidth="1"/>
    <col min="2564" max="2564" width="10" customWidth="1"/>
    <col min="2565" max="2565" width="10.125" customWidth="1"/>
    <col min="2566" max="2567" width="10.375" customWidth="1"/>
    <col min="2568" max="2568" width="8.375" customWidth="1"/>
    <col min="2569" max="2569" width="9" customWidth="1"/>
    <col min="2570" max="2570" width="10" customWidth="1"/>
    <col min="2571" max="2571" width="9.375" customWidth="1"/>
    <col min="2573" max="2574" width="8.125" bestFit="1" customWidth="1"/>
    <col min="2817" max="2817" width="30.375" customWidth="1"/>
    <col min="2818" max="2818" width="9.375" customWidth="1"/>
    <col min="2819" max="2819" width="10.375" customWidth="1"/>
    <col min="2820" max="2820" width="10" customWidth="1"/>
    <col min="2821" max="2821" width="10.125" customWidth="1"/>
    <col min="2822" max="2823" width="10.375" customWidth="1"/>
    <col min="2824" max="2824" width="8.375" customWidth="1"/>
    <col min="2825" max="2825" width="9" customWidth="1"/>
    <col min="2826" max="2826" width="10" customWidth="1"/>
    <col min="2827" max="2827" width="9.375" customWidth="1"/>
    <col min="2829" max="2830" width="8.125" bestFit="1" customWidth="1"/>
    <col min="3073" max="3073" width="30.375" customWidth="1"/>
    <col min="3074" max="3074" width="9.375" customWidth="1"/>
    <col min="3075" max="3075" width="10.375" customWidth="1"/>
    <col min="3076" max="3076" width="10" customWidth="1"/>
    <col min="3077" max="3077" width="10.125" customWidth="1"/>
    <col min="3078" max="3079" width="10.375" customWidth="1"/>
    <col min="3080" max="3080" width="8.375" customWidth="1"/>
    <col min="3081" max="3081" width="9" customWidth="1"/>
    <col min="3082" max="3082" width="10" customWidth="1"/>
    <col min="3083" max="3083" width="9.375" customWidth="1"/>
    <col min="3085" max="3086" width="8.125" bestFit="1" customWidth="1"/>
    <col min="3329" max="3329" width="30.375" customWidth="1"/>
    <col min="3330" max="3330" width="9.375" customWidth="1"/>
    <col min="3331" max="3331" width="10.375" customWidth="1"/>
    <col min="3332" max="3332" width="10" customWidth="1"/>
    <col min="3333" max="3333" width="10.125" customWidth="1"/>
    <col min="3334" max="3335" width="10.375" customWidth="1"/>
    <col min="3336" max="3336" width="8.375" customWidth="1"/>
    <col min="3337" max="3337" width="9" customWidth="1"/>
    <col min="3338" max="3338" width="10" customWidth="1"/>
    <col min="3339" max="3339" width="9.375" customWidth="1"/>
    <col min="3341" max="3342" width="8.125" bestFit="1" customWidth="1"/>
    <col min="3585" max="3585" width="30.375" customWidth="1"/>
    <col min="3586" max="3586" width="9.375" customWidth="1"/>
    <col min="3587" max="3587" width="10.375" customWidth="1"/>
    <col min="3588" max="3588" width="10" customWidth="1"/>
    <col min="3589" max="3589" width="10.125" customWidth="1"/>
    <col min="3590" max="3591" width="10.375" customWidth="1"/>
    <col min="3592" max="3592" width="8.375" customWidth="1"/>
    <col min="3593" max="3593" width="9" customWidth="1"/>
    <col min="3594" max="3594" width="10" customWidth="1"/>
    <col min="3595" max="3595" width="9.375" customWidth="1"/>
    <col min="3597" max="3598" width="8.125" bestFit="1" customWidth="1"/>
    <col min="3841" max="3841" width="30.375" customWidth="1"/>
    <col min="3842" max="3842" width="9.375" customWidth="1"/>
    <col min="3843" max="3843" width="10.375" customWidth="1"/>
    <col min="3844" max="3844" width="10" customWidth="1"/>
    <col min="3845" max="3845" width="10.125" customWidth="1"/>
    <col min="3846" max="3847" width="10.375" customWidth="1"/>
    <col min="3848" max="3848" width="8.375" customWidth="1"/>
    <col min="3849" max="3849" width="9" customWidth="1"/>
    <col min="3850" max="3850" width="10" customWidth="1"/>
    <col min="3851" max="3851" width="9.375" customWidth="1"/>
    <col min="3853" max="3854" width="8.125" bestFit="1" customWidth="1"/>
    <col min="4097" max="4097" width="30.375" customWidth="1"/>
    <col min="4098" max="4098" width="9.375" customWidth="1"/>
    <col min="4099" max="4099" width="10.375" customWidth="1"/>
    <col min="4100" max="4100" width="10" customWidth="1"/>
    <col min="4101" max="4101" width="10.125" customWidth="1"/>
    <col min="4102" max="4103" width="10.375" customWidth="1"/>
    <col min="4104" max="4104" width="8.375" customWidth="1"/>
    <col min="4105" max="4105" width="9" customWidth="1"/>
    <col min="4106" max="4106" width="10" customWidth="1"/>
    <col min="4107" max="4107" width="9.375" customWidth="1"/>
    <col min="4109" max="4110" width="8.125" bestFit="1" customWidth="1"/>
    <col min="4353" max="4353" width="30.375" customWidth="1"/>
    <col min="4354" max="4354" width="9.375" customWidth="1"/>
    <col min="4355" max="4355" width="10.375" customWidth="1"/>
    <col min="4356" max="4356" width="10" customWidth="1"/>
    <col min="4357" max="4357" width="10.125" customWidth="1"/>
    <col min="4358" max="4359" width="10.375" customWidth="1"/>
    <col min="4360" max="4360" width="8.375" customWidth="1"/>
    <col min="4361" max="4361" width="9" customWidth="1"/>
    <col min="4362" max="4362" width="10" customWidth="1"/>
    <col min="4363" max="4363" width="9.375" customWidth="1"/>
    <col min="4365" max="4366" width="8.125" bestFit="1" customWidth="1"/>
    <col min="4609" max="4609" width="30.375" customWidth="1"/>
    <col min="4610" max="4610" width="9.375" customWidth="1"/>
    <col min="4611" max="4611" width="10.375" customWidth="1"/>
    <col min="4612" max="4612" width="10" customWidth="1"/>
    <col min="4613" max="4613" width="10.125" customWidth="1"/>
    <col min="4614" max="4615" width="10.375" customWidth="1"/>
    <col min="4616" max="4616" width="8.375" customWidth="1"/>
    <col min="4617" max="4617" width="9" customWidth="1"/>
    <col min="4618" max="4618" width="10" customWidth="1"/>
    <col min="4619" max="4619" width="9.375" customWidth="1"/>
    <col min="4621" max="4622" width="8.125" bestFit="1" customWidth="1"/>
    <col min="4865" max="4865" width="30.375" customWidth="1"/>
    <col min="4866" max="4866" width="9.375" customWidth="1"/>
    <col min="4867" max="4867" width="10.375" customWidth="1"/>
    <col min="4868" max="4868" width="10" customWidth="1"/>
    <col min="4869" max="4869" width="10.125" customWidth="1"/>
    <col min="4870" max="4871" width="10.375" customWidth="1"/>
    <col min="4872" max="4872" width="8.375" customWidth="1"/>
    <col min="4873" max="4873" width="9" customWidth="1"/>
    <col min="4874" max="4874" width="10" customWidth="1"/>
    <col min="4875" max="4875" width="9.375" customWidth="1"/>
    <col min="4877" max="4878" width="8.125" bestFit="1" customWidth="1"/>
    <col min="5121" max="5121" width="30.375" customWidth="1"/>
    <col min="5122" max="5122" width="9.375" customWidth="1"/>
    <col min="5123" max="5123" width="10.375" customWidth="1"/>
    <col min="5124" max="5124" width="10" customWidth="1"/>
    <col min="5125" max="5125" width="10.125" customWidth="1"/>
    <col min="5126" max="5127" width="10.375" customWidth="1"/>
    <col min="5128" max="5128" width="8.375" customWidth="1"/>
    <col min="5129" max="5129" width="9" customWidth="1"/>
    <col min="5130" max="5130" width="10" customWidth="1"/>
    <col min="5131" max="5131" width="9.375" customWidth="1"/>
    <col min="5133" max="5134" width="8.125" bestFit="1" customWidth="1"/>
    <col min="5377" max="5377" width="30.375" customWidth="1"/>
    <col min="5378" max="5378" width="9.375" customWidth="1"/>
    <col min="5379" max="5379" width="10.375" customWidth="1"/>
    <col min="5380" max="5380" width="10" customWidth="1"/>
    <col min="5381" max="5381" width="10.125" customWidth="1"/>
    <col min="5382" max="5383" width="10.375" customWidth="1"/>
    <col min="5384" max="5384" width="8.375" customWidth="1"/>
    <col min="5385" max="5385" width="9" customWidth="1"/>
    <col min="5386" max="5386" width="10" customWidth="1"/>
    <col min="5387" max="5387" width="9.375" customWidth="1"/>
    <col min="5389" max="5390" width="8.125" bestFit="1" customWidth="1"/>
    <col min="5633" max="5633" width="30.375" customWidth="1"/>
    <col min="5634" max="5634" width="9.375" customWidth="1"/>
    <col min="5635" max="5635" width="10.375" customWidth="1"/>
    <col min="5636" max="5636" width="10" customWidth="1"/>
    <col min="5637" max="5637" width="10.125" customWidth="1"/>
    <col min="5638" max="5639" width="10.375" customWidth="1"/>
    <col min="5640" max="5640" width="8.375" customWidth="1"/>
    <col min="5641" max="5641" width="9" customWidth="1"/>
    <col min="5642" max="5642" width="10" customWidth="1"/>
    <col min="5643" max="5643" width="9.375" customWidth="1"/>
    <col min="5645" max="5646" width="8.125" bestFit="1" customWidth="1"/>
    <col min="5889" max="5889" width="30.375" customWidth="1"/>
    <col min="5890" max="5890" width="9.375" customWidth="1"/>
    <col min="5891" max="5891" width="10.375" customWidth="1"/>
    <col min="5892" max="5892" width="10" customWidth="1"/>
    <col min="5893" max="5893" width="10.125" customWidth="1"/>
    <col min="5894" max="5895" width="10.375" customWidth="1"/>
    <col min="5896" max="5896" width="8.375" customWidth="1"/>
    <col min="5897" max="5897" width="9" customWidth="1"/>
    <col min="5898" max="5898" width="10" customWidth="1"/>
    <col min="5899" max="5899" width="9.375" customWidth="1"/>
    <col min="5901" max="5902" width="8.125" bestFit="1" customWidth="1"/>
    <col min="6145" max="6145" width="30.375" customWidth="1"/>
    <col min="6146" max="6146" width="9.375" customWidth="1"/>
    <col min="6147" max="6147" width="10.375" customWidth="1"/>
    <col min="6148" max="6148" width="10" customWidth="1"/>
    <col min="6149" max="6149" width="10.125" customWidth="1"/>
    <col min="6150" max="6151" width="10.375" customWidth="1"/>
    <col min="6152" max="6152" width="8.375" customWidth="1"/>
    <col min="6153" max="6153" width="9" customWidth="1"/>
    <col min="6154" max="6154" width="10" customWidth="1"/>
    <col min="6155" max="6155" width="9.375" customWidth="1"/>
    <col min="6157" max="6158" width="8.125" bestFit="1" customWidth="1"/>
    <col min="6401" max="6401" width="30.375" customWidth="1"/>
    <col min="6402" max="6402" width="9.375" customWidth="1"/>
    <col min="6403" max="6403" width="10.375" customWidth="1"/>
    <col min="6404" max="6404" width="10" customWidth="1"/>
    <col min="6405" max="6405" width="10.125" customWidth="1"/>
    <col min="6406" max="6407" width="10.375" customWidth="1"/>
    <col min="6408" max="6408" width="8.375" customWidth="1"/>
    <col min="6409" max="6409" width="9" customWidth="1"/>
    <col min="6410" max="6410" width="10" customWidth="1"/>
    <col min="6411" max="6411" width="9.375" customWidth="1"/>
    <col min="6413" max="6414" width="8.125" bestFit="1" customWidth="1"/>
    <col min="6657" max="6657" width="30.375" customWidth="1"/>
    <col min="6658" max="6658" width="9.375" customWidth="1"/>
    <col min="6659" max="6659" width="10.375" customWidth="1"/>
    <col min="6660" max="6660" width="10" customWidth="1"/>
    <col min="6661" max="6661" width="10.125" customWidth="1"/>
    <col min="6662" max="6663" width="10.375" customWidth="1"/>
    <col min="6664" max="6664" width="8.375" customWidth="1"/>
    <col min="6665" max="6665" width="9" customWidth="1"/>
    <col min="6666" max="6666" width="10" customWidth="1"/>
    <col min="6667" max="6667" width="9.375" customWidth="1"/>
    <col min="6669" max="6670" width="8.125" bestFit="1" customWidth="1"/>
    <col min="6913" max="6913" width="30.375" customWidth="1"/>
    <col min="6914" max="6914" width="9.375" customWidth="1"/>
    <col min="6915" max="6915" width="10.375" customWidth="1"/>
    <col min="6916" max="6916" width="10" customWidth="1"/>
    <col min="6917" max="6917" width="10.125" customWidth="1"/>
    <col min="6918" max="6919" width="10.375" customWidth="1"/>
    <col min="6920" max="6920" width="8.375" customWidth="1"/>
    <col min="6921" max="6921" width="9" customWidth="1"/>
    <col min="6922" max="6922" width="10" customWidth="1"/>
    <col min="6923" max="6923" width="9.375" customWidth="1"/>
    <col min="6925" max="6926" width="8.125" bestFit="1" customWidth="1"/>
    <col min="7169" max="7169" width="30.375" customWidth="1"/>
    <col min="7170" max="7170" width="9.375" customWidth="1"/>
    <col min="7171" max="7171" width="10.375" customWidth="1"/>
    <col min="7172" max="7172" width="10" customWidth="1"/>
    <col min="7173" max="7173" width="10.125" customWidth="1"/>
    <col min="7174" max="7175" width="10.375" customWidth="1"/>
    <col min="7176" max="7176" width="8.375" customWidth="1"/>
    <col min="7177" max="7177" width="9" customWidth="1"/>
    <col min="7178" max="7178" width="10" customWidth="1"/>
    <col min="7179" max="7179" width="9.375" customWidth="1"/>
    <col min="7181" max="7182" width="8.125" bestFit="1" customWidth="1"/>
    <col min="7425" max="7425" width="30.375" customWidth="1"/>
    <col min="7426" max="7426" width="9.375" customWidth="1"/>
    <col min="7427" max="7427" width="10.375" customWidth="1"/>
    <col min="7428" max="7428" width="10" customWidth="1"/>
    <col min="7429" max="7429" width="10.125" customWidth="1"/>
    <col min="7430" max="7431" width="10.375" customWidth="1"/>
    <col min="7432" max="7432" width="8.375" customWidth="1"/>
    <col min="7433" max="7433" width="9" customWidth="1"/>
    <col min="7434" max="7434" width="10" customWidth="1"/>
    <col min="7435" max="7435" width="9.375" customWidth="1"/>
    <col min="7437" max="7438" width="8.125" bestFit="1" customWidth="1"/>
    <col min="7681" max="7681" width="30.375" customWidth="1"/>
    <col min="7682" max="7682" width="9.375" customWidth="1"/>
    <col min="7683" max="7683" width="10.375" customWidth="1"/>
    <col min="7684" max="7684" width="10" customWidth="1"/>
    <col min="7685" max="7685" width="10.125" customWidth="1"/>
    <col min="7686" max="7687" width="10.375" customWidth="1"/>
    <col min="7688" max="7688" width="8.375" customWidth="1"/>
    <col min="7689" max="7689" width="9" customWidth="1"/>
    <col min="7690" max="7690" width="10" customWidth="1"/>
    <col min="7691" max="7691" width="9.375" customWidth="1"/>
    <col min="7693" max="7694" width="8.125" bestFit="1" customWidth="1"/>
    <col min="7937" max="7937" width="30.375" customWidth="1"/>
    <col min="7938" max="7938" width="9.375" customWidth="1"/>
    <col min="7939" max="7939" width="10.375" customWidth="1"/>
    <col min="7940" max="7940" width="10" customWidth="1"/>
    <col min="7941" max="7941" width="10.125" customWidth="1"/>
    <col min="7942" max="7943" width="10.375" customWidth="1"/>
    <col min="7944" max="7944" width="8.375" customWidth="1"/>
    <col min="7945" max="7945" width="9" customWidth="1"/>
    <col min="7946" max="7946" width="10" customWidth="1"/>
    <col min="7947" max="7947" width="9.375" customWidth="1"/>
    <col min="7949" max="7950" width="8.125" bestFit="1" customWidth="1"/>
    <col min="8193" max="8193" width="30.375" customWidth="1"/>
    <col min="8194" max="8194" width="9.375" customWidth="1"/>
    <col min="8195" max="8195" width="10.375" customWidth="1"/>
    <col min="8196" max="8196" width="10" customWidth="1"/>
    <col min="8197" max="8197" width="10.125" customWidth="1"/>
    <col min="8198" max="8199" width="10.375" customWidth="1"/>
    <col min="8200" max="8200" width="8.375" customWidth="1"/>
    <col min="8201" max="8201" width="9" customWidth="1"/>
    <col min="8202" max="8202" width="10" customWidth="1"/>
    <col min="8203" max="8203" width="9.375" customWidth="1"/>
    <col min="8205" max="8206" width="8.125" bestFit="1" customWidth="1"/>
    <col min="8449" max="8449" width="30.375" customWidth="1"/>
    <col min="8450" max="8450" width="9.375" customWidth="1"/>
    <col min="8451" max="8451" width="10.375" customWidth="1"/>
    <col min="8452" max="8452" width="10" customWidth="1"/>
    <col min="8453" max="8453" width="10.125" customWidth="1"/>
    <col min="8454" max="8455" width="10.375" customWidth="1"/>
    <col min="8456" max="8456" width="8.375" customWidth="1"/>
    <col min="8457" max="8457" width="9" customWidth="1"/>
    <col min="8458" max="8458" width="10" customWidth="1"/>
    <col min="8459" max="8459" width="9.375" customWidth="1"/>
    <col min="8461" max="8462" width="8.125" bestFit="1" customWidth="1"/>
    <col min="8705" max="8705" width="30.375" customWidth="1"/>
    <col min="8706" max="8706" width="9.375" customWidth="1"/>
    <col min="8707" max="8707" width="10.375" customWidth="1"/>
    <col min="8708" max="8708" width="10" customWidth="1"/>
    <col min="8709" max="8709" width="10.125" customWidth="1"/>
    <col min="8710" max="8711" width="10.375" customWidth="1"/>
    <col min="8712" max="8712" width="8.375" customWidth="1"/>
    <col min="8713" max="8713" width="9" customWidth="1"/>
    <col min="8714" max="8714" width="10" customWidth="1"/>
    <col min="8715" max="8715" width="9.375" customWidth="1"/>
    <col min="8717" max="8718" width="8.125" bestFit="1" customWidth="1"/>
    <col min="8961" max="8961" width="30.375" customWidth="1"/>
    <col min="8962" max="8962" width="9.375" customWidth="1"/>
    <col min="8963" max="8963" width="10.375" customWidth="1"/>
    <col min="8964" max="8964" width="10" customWidth="1"/>
    <col min="8965" max="8965" width="10.125" customWidth="1"/>
    <col min="8966" max="8967" width="10.375" customWidth="1"/>
    <col min="8968" max="8968" width="8.375" customWidth="1"/>
    <col min="8969" max="8969" width="9" customWidth="1"/>
    <col min="8970" max="8970" width="10" customWidth="1"/>
    <col min="8971" max="8971" width="9.375" customWidth="1"/>
    <col min="8973" max="8974" width="8.125" bestFit="1" customWidth="1"/>
    <col min="9217" max="9217" width="30.375" customWidth="1"/>
    <col min="9218" max="9218" width="9.375" customWidth="1"/>
    <col min="9219" max="9219" width="10.375" customWidth="1"/>
    <col min="9220" max="9220" width="10" customWidth="1"/>
    <col min="9221" max="9221" width="10.125" customWidth="1"/>
    <col min="9222" max="9223" width="10.375" customWidth="1"/>
    <col min="9224" max="9224" width="8.375" customWidth="1"/>
    <col min="9225" max="9225" width="9" customWidth="1"/>
    <col min="9226" max="9226" width="10" customWidth="1"/>
    <col min="9227" max="9227" width="9.375" customWidth="1"/>
    <col min="9229" max="9230" width="8.125" bestFit="1" customWidth="1"/>
    <col min="9473" max="9473" width="30.375" customWidth="1"/>
    <col min="9474" max="9474" width="9.375" customWidth="1"/>
    <col min="9475" max="9475" width="10.375" customWidth="1"/>
    <col min="9476" max="9476" width="10" customWidth="1"/>
    <col min="9477" max="9477" width="10.125" customWidth="1"/>
    <col min="9478" max="9479" width="10.375" customWidth="1"/>
    <col min="9480" max="9480" width="8.375" customWidth="1"/>
    <col min="9481" max="9481" width="9" customWidth="1"/>
    <col min="9482" max="9482" width="10" customWidth="1"/>
    <col min="9483" max="9483" width="9.375" customWidth="1"/>
    <col min="9485" max="9486" width="8.125" bestFit="1" customWidth="1"/>
    <col min="9729" max="9729" width="30.375" customWidth="1"/>
    <col min="9730" max="9730" width="9.375" customWidth="1"/>
    <col min="9731" max="9731" width="10.375" customWidth="1"/>
    <col min="9732" max="9732" width="10" customWidth="1"/>
    <col min="9733" max="9733" width="10.125" customWidth="1"/>
    <col min="9734" max="9735" width="10.375" customWidth="1"/>
    <col min="9736" max="9736" width="8.375" customWidth="1"/>
    <col min="9737" max="9737" width="9" customWidth="1"/>
    <col min="9738" max="9738" width="10" customWidth="1"/>
    <col min="9739" max="9739" width="9.375" customWidth="1"/>
    <col min="9741" max="9742" width="8.125" bestFit="1" customWidth="1"/>
    <col min="9985" max="9985" width="30.375" customWidth="1"/>
    <col min="9986" max="9986" width="9.375" customWidth="1"/>
    <col min="9987" max="9987" width="10.375" customWidth="1"/>
    <col min="9988" max="9988" width="10" customWidth="1"/>
    <col min="9989" max="9989" width="10.125" customWidth="1"/>
    <col min="9990" max="9991" width="10.375" customWidth="1"/>
    <col min="9992" max="9992" width="8.375" customWidth="1"/>
    <col min="9993" max="9993" width="9" customWidth="1"/>
    <col min="9994" max="9994" width="10" customWidth="1"/>
    <col min="9995" max="9995" width="9.375" customWidth="1"/>
    <col min="9997" max="9998" width="8.125" bestFit="1" customWidth="1"/>
    <col min="10241" max="10241" width="30.375" customWidth="1"/>
    <col min="10242" max="10242" width="9.375" customWidth="1"/>
    <col min="10243" max="10243" width="10.375" customWidth="1"/>
    <col min="10244" max="10244" width="10" customWidth="1"/>
    <col min="10245" max="10245" width="10.125" customWidth="1"/>
    <col min="10246" max="10247" width="10.375" customWidth="1"/>
    <col min="10248" max="10248" width="8.375" customWidth="1"/>
    <col min="10249" max="10249" width="9" customWidth="1"/>
    <col min="10250" max="10250" width="10" customWidth="1"/>
    <col min="10251" max="10251" width="9.375" customWidth="1"/>
    <col min="10253" max="10254" width="8.125" bestFit="1" customWidth="1"/>
    <col min="10497" max="10497" width="30.375" customWidth="1"/>
    <col min="10498" max="10498" width="9.375" customWidth="1"/>
    <col min="10499" max="10499" width="10.375" customWidth="1"/>
    <col min="10500" max="10500" width="10" customWidth="1"/>
    <col min="10501" max="10501" width="10.125" customWidth="1"/>
    <col min="10502" max="10503" width="10.375" customWidth="1"/>
    <col min="10504" max="10504" width="8.375" customWidth="1"/>
    <col min="10505" max="10505" width="9" customWidth="1"/>
    <col min="10506" max="10506" width="10" customWidth="1"/>
    <col min="10507" max="10507" width="9.375" customWidth="1"/>
    <col min="10509" max="10510" width="8.125" bestFit="1" customWidth="1"/>
    <col min="10753" max="10753" width="30.375" customWidth="1"/>
    <col min="10754" max="10754" width="9.375" customWidth="1"/>
    <col min="10755" max="10755" width="10.375" customWidth="1"/>
    <col min="10756" max="10756" width="10" customWidth="1"/>
    <col min="10757" max="10757" width="10.125" customWidth="1"/>
    <col min="10758" max="10759" width="10.375" customWidth="1"/>
    <col min="10760" max="10760" width="8.375" customWidth="1"/>
    <col min="10761" max="10761" width="9" customWidth="1"/>
    <col min="10762" max="10762" width="10" customWidth="1"/>
    <col min="10763" max="10763" width="9.375" customWidth="1"/>
    <col min="10765" max="10766" width="8.125" bestFit="1" customWidth="1"/>
    <col min="11009" max="11009" width="30.375" customWidth="1"/>
    <col min="11010" max="11010" width="9.375" customWidth="1"/>
    <col min="11011" max="11011" width="10.375" customWidth="1"/>
    <col min="11012" max="11012" width="10" customWidth="1"/>
    <col min="11013" max="11013" width="10.125" customWidth="1"/>
    <col min="11014" max="11015" width="10.375" customWidth="1"/>
    <col min="11016" max="11016" width="8.375" customWidth="1"/>
    <col min="11017" max="11017" width="9" customWidth="1"/>
    <col min="11018" max="11018" width="10" customWidth="1"/>
    <col min="11019" max="11019" width="9.375" customWidth="1"/>
    <col min="11021" max="11022" width="8.125" bestFit="1" customWidth="1"/>
    <col min="11265" max="11265" width="30.375" customWidth="1"/>
    <col min="11266" max="11266" width="9.375" customWidth="1"/>
    <col min="11267" max="11267" width="10.375" customWidth="1"/>
    <col min="11268" max="11268" width="10" customWidth="1"/>
    <col min="11269" max="11269" width="10.125" customWidth="1"/>
    <col min="11270" max="11271" width="10.375" customWidth="1"/>
    <col min="11272" max="11272" width="8.375" customWidth="1"/>
    <col min="11273" max="11273" width="9" customWidth="1"/>
    <col min="11274" max="11274" width="10" customWidth="1"/>
    <col min="11275" max="11275" width="9.375" customWidth="1"/>
    <col min="11277" max="11278" width="8.125" bestFit="1" customWidth="1"/>
    <col min="11521" max="11521" width="30.375" customWidth="1"/>
    <col min="11522" max="11522" width="9.375" customWidth="1"/>
    <col min="11523" max="11523" width="10.375" customWidth="1"/>
    <col min="11524" max="11524" width="10" customWidth="1"/>
    <col min="11525" max="11525" width="10.125" customWidth="1"/>
    <col min="11526" max="11527" width="10.375" customWidth="1"/>
    <col min="11528" max="11528" width="8.375" customWidth="1"/>
    <col min="11529" max="11529" width="9" customWidth="1"/>
    <col min="11530" max="11530" width="10" customWidth="1"/>
    <col min="11531" max="11531" width="9.375" customWidth="1"/>
    <col min="11533" max="11534" width="8.125" bestFit="1" customWidth="1"/>
    <col min="11777" max="11777" width="30.375" customWidth="1"/>
    <col min="11778" max="11778" width="9.375" customWidth="1"/>
    <col min="11779" max="11779" width="10.375" customWidth="1"/>
    <col min="11780" max="11780" width="10" customWidth="1"/>
    <col min="11781" max="11781" width="10.125" customWidth="1"/>
    <col min="11782" max="11783" width="10.375" customWidth="1"/>
    <col min="11784" max="11784" width="8.375" customWidth="1"/>
    <col min="11785" max="11785" width="9" customWidth="1"/>
    <col min="11786" max="11786" width="10" customWidth="1"/>
    <col min="11787" max="11787" width="9.375" customWidth="1"/>
    <col min="11789" max="11790" width="8.125" bestFit="1" customWidth="1"/>
    <col min="12033" max="12033" width="30.375" customWidth="1"/>
    <col min="12034" max="12034" width="9.375" customWidth="1"/>
    <col min="12035" max="12035" width="10.375" customWidth="1"/>
    <col min="12036" max="12036" width="10" customWidth="1"/>
    <col min="12037" max="12037" width="10.125" customWidth="1"/>
    <col min="12038" max="12039" width="10.375" customWidth="1"/>
    <col min="12040" max="12040" width="8.375" customWidth="1"/>
    <col min="12041" max="12041" width="9" customWidth="1"/>
    <col min="12042" max="12042" width="10" customWidth="1"/>
    <col min="12043" max="12043" width="9.375" customWidth="1"/>
    <col min="12045" max="12046" width="8.125" bestFit="1" customWidth="1"/>
    <col min="12289" max="12289" width="30.375" customWidth="1"/>
    <col min="12290" max="12290" width="9.375" customWidth="1"/>
    <col min="12291" max="12291" width="10.375" customWidth="1"/>
    <col min="12292" max="12292" width="10" customWidth="1"/>
    <col min="12293" max="12293" width="10.125" customWidth="1"/>
    <col min="12294" max="12295" width="10.375" customWidth="1"/>
    <col min="12296" max="12296" width="8.375" customWidth="1"/>
    <col min="12297" max="12297" width="9" customWidth="1"/>
    <col min="12298" max="12298" width="10" customWidth="1"/>
    <col min="12299" max="12299" width="9.375" customWidth="1"/>
    <col min="12301" max="12302" width="8.125" bestFit="1" customWidth="1"/>
    <col min="12545" max="12545" width="30.375" customWidth="1"/>
    <col min="12546" max="12546" width="9.375" customWidth="1"/>
    <col min="12547" max="12547" width="10.375" customWidth="1"/>
    <col min="12548" max="12548" width="10" customWidth="1"/>
    <col min="12549" max="12549" width="10.125" customWidth="1"/>
    <col min="12550" max="12551" width="10.375" customWidth="1"/>
    <col min="12552" max="12552" width="8.375" customWidth="1"/>
    <col min="12553" max="12553" width="9" customWidth="1"/>
    <col min="12554" max="12554" width="10" customWidth="1"/>
    <col min="12555" max="12555" width="9.375" customWidth="1"/>
    <col min="12557" max="12558" width="8.125" bestFit="1" customWidth="1"/>
    <col min="12801" max="12801" width="30.375" customWidth="1"/>
    <col min="12802" max="12802" width="9.375" customWidth="1"/>
    <col min="12803" max="12803" width="10.375" customWidth="1"/>
    <col min="12804" max="12804" width="10" customWidth="1"/>
    <col min="12805" max="12805" width="10.125" customWidth="1"/>
    <col min="12806" max="12807" width="10.375" customWidth="1"/>
    <col min="12808" max="12808" width="8.375" customWidth="1"/>
    <col min="12809" max="12809" width="9" customWidth="1"/>
    <col min="12810" max="12810" width="10" customWidth="1"/>
    <col min="12811" max="12811" width="9.375" customWidth="1"/>
    <col min="12813" max="12814" width="8.125" bestFit="1" customWidth="1"/>
    <col min="13057" max="13057" width="30.375" customWidth="1"/>
    <col min="13058" max="13058" width="9.375" customWidth="1"/>
    <col min="13059" max="13059" width="10.375" customWidth="1"/>
    <col min="13060" max="13060" width="10" customWidth="1"/>
    <col min="13061" max="13061" width="10.125" customWidth="1"/>
    <col min="13062" max="13063" width="10.375" customWidth="1"/>
    <col min="13064" max="13064" width="8.375" customWidth="1"/>
    <col min="13065" max="13065" width="9" customWidth="1"/>
    <col min="13066" max="13066" width="10" customWidth="1"/>
    <col min="13067" max="13067" width="9.375" customWidth="1"/>
    <col min="13069" max="13070" width="8.125" bestFit="1" customWidth="1"/>
    <col min="13313" max="13313" width="30.375" customWidth="1"/>
    <col min="13314" max="13314" width="9.375" customWidth="1"/>
    <col min="13315" max="13315" width="10.375" customWidth="1"/>
    <col min="13316" max="13316" width="10" customWidth="1"/>
    <col min="13317" max="13317" width="10.125" customWidth="1"/>
    <col min="13318" max="13319" width="10.375" customWidth="1"/>
    <col min="13320" max="13320" width="8.375" customWidth="1"/>
    <col min="13321" max="13321" width="9" customWidth="1"/>
    <col min="13322" max="13322" width="10" customWidth="1"/>
    <col min="13323" max="13323" width="9.375" customWidth="1"/>
    <col min="13325" max="13326" width="8.125" bestFit="1" customWidth="1"/>
    <col min="13569" max="13569" width="30.375" customWidth="1"/>
    <col min="13570" max="13570" width="9.375" customWidth="1"/>
    <col min="13571" max="13571" width="10.375" customWidth="1"/>
    <col min="13572" max="13572" width="10" customWidth="1"/>
    <col min="13573" max="13573" width="10.125" customWidth="1"/>
    <col min="13574" max="13575" width="10.375" customWidth="1"/>
    <col min="13576" max="13576" width="8.375" customWidth="1"/>
    <col min="13577" max="13577" width="9" customWidth="1"/>
    <col min="13578" max="13578" width="10" customWidth="1"/>
    <col min="13579" max="13579" width="9.375" customWidth="1"/>
    <col min="13581" max="13582" width="8.125" bestFit="1" customWidth="1"/>
    <col min="13825" max="13825" width="30.375" customWidth="1"/>
    <col min="13826" max="13826" width="9.375" customWidth="1"/>
    <col min="13827" max="13827" width="10.375" customWidth="1"/>
    <col min="13828" max="13828" width="10" customWidth="1"/>
    <col min="13829" max="13829" width="10.125" customWidth="1"/>
    <col min="13830" max="13831" width="10.375" customWidth="1"/>
    <col min="13832" max="13832" width="8.375" customWidth="1"/>
    <col min="13833" max="13833" width="9" customWidth="1"/>
    <col min="13834" max="13834" width="10" customWidth="1"/>
    <col min="13835" max="13835" width="9.375" customWidth="1"/>
    <col min="13837" max="13838" width="8.125" bestFit="1" customWidth="1"/>
    <col min="14081" max="14081" width="30.375" customWidth="1"/>
    <col min="14082" max="14082" width="9.375" customWidth="1"/>
    <col min="14083" max="14083" width="10.375" customWidth="1"/>
    <col min="14084" max="14084" width="10" customWidth="1"/>
    <col min="14085" max="14085" width="10.125" customWidth="1"/>
    <col min="14086" max="14087" width="10.375" customWidth="1"/>
    <col min="14088" max="14088" width="8.375" customWidth="1"/>
    <col min="14089" max="14089" width="9" customWidth="1"/>
    <col min="14090" max="14090" width="10" customWidth="1"/>
    <col min="14091" max="14091" width="9.375" customWidth="1"/>
    <col min="14093" max="14094" width="8.125" bestFit="1" customWidth="1"/>
    <col min="14337" max="14337" width="30.375" customWidth="1"/>
    <col min="14338" max="14338" width="9.375" customWidth="1"/>
    <col min="14339" max="14339" width="10.375" customWidth="1"/>
    <col min="14340" max="14340" width="10" customWidth="1"/>
    <col min="14341" max="14341" width="10.125" customWidth="1"/>
    <col min="14342" max="14343" width="10.375" customWidth="1"/>
    <col min="14344" max="14344" width="8.375" customWidth="1"/>
    <col min="14345" max="14345" width="9" customWidth="1"/>
    <col min="14346" max="14346" width="10" customWidth="1"/>
    <col min="14347" max="14347" width="9.375" customWidth="1"/>
    <col min="14349" max="14350" width="8.125" bestFit="1" customWidth="1"/>
    <col min="14593" max="14593" width="30.375" customWidth="1"/>
    <col min="14594" max="14594" width="9.375" customWidth="1"/>
    <col min="14595" max="14595" width="10.375" customWidth="1"/>
    <col min="14596" max="14596" width="10" customWidth="1"/>
    <col min="14597" max="14597" width="10.125" customWidth="1"/>
    <col min="14598" max="14599" width="10.375" customWidth="1"/>
    <col min="14600" max="14600" width="8.375" customWidth="1"/>
    <col min="14601" max="14601" width="9" customWidth="1"/>
    <col min="14602" max="14602" width="10" customWidth="1"/>
    <col min="14603" max="14603" width="9.375" customWidth="1"/>
    <col min="14605" max="14606" width="8.125" bestFit="1" customWidth="1"/>
    <col min="14849" max="14849" width="30.375" customWidth="1"/>
    <col min="14850" max="14850" width="9.375" customWidth="1"/>
    <col min="14851" max="14851" width="10.375" customWidth="1"/>
    <col min="14852" max="14852" width="10" customWidth="1"/>
    <col min="14853" max="14853" width="10.125" customWidth="1"/>
    <col min="14854" max="14855" width="10.375" customWidth="1"/>
    <col min="14856" max="14856" width="8.375" customWidth="1"/>
    <col min="14857" max="14857" width="9" customWidth="1"/>
    <col min="14858" max="14858" width="10" customWidth="1"/>
    <col min="14859" max="14859" width="9.375" customWidth="1"/>
    <col min="14861" max="14862" width="8.125" bestFit="1" customWidth="1"/>
    <col min="15105" max="15105" width="30.375" customWidth="1"/>
    <col min="15106" max="15106" width="9.375" customWidth="1"/>
    <col min="15107" max="15107" width="10.375" customWidth="1"/>
    <col min="15108" max="15108" width="10" customWidth="1"/>
    <col min="15109" max="15109" width="10.125" customWidth="1"/>
    <col min="15110" max="15111" width="10.375" customWidth="1"/>
    <col min="15112" max="15112" width="8.375" customWidth="1"/>
    <col min="15113" max="15113" width="9" customWidth="1"/>
    <col min="15114" max="15114" width="10" customWidth="1"/>
    <col min="15115" max="15115" width="9.375" customWidth="1"/>
    <col min="15117" max="15118" width="8.125" bestFit="1" customWidth="1"/>
    <col min="15361" max="15361" width="30.375" customWidth="1"/>
    <col min="15362" max="15362" width="9.375" customWidth="1"/>
    <col min="15363" max="15363" width="10.375" customWidth="1"/>
    <col min="15364" max="15364" width="10" customWidth="1"/>
    <col min="15365" max="15365" width="10.125" customWidth="1"/>
    <col min="15366" max="15367" width="10.375" customWidth="1"/>
    <col min="15368" max="15368" width="8.375" customWidth="1"/>
    <col min="15369" max="15369" width="9" customWidth="1"/>
    <col min="15370" max="15370" width="10" customWidth="1"/>
    <col min="15371" max="15371" width="9.375" customWidth="1"/>
    <col min="15373" max="15374" width="8.125" bestFit="1" customWidth="1"/>
    <col min="15617" max="15617" width="30.375" customWidth="1"/>
    <col min="15618" max="15618" width="9.375" customWidth="1"/>
    <col min="15619" max="15619" width="10.375" customWidth="1"/>
    <col min="15620" max="15620" width="10" customWidth="1"/>
    <col min="15621" max="15621" width="10.125" customWidth="1"/>
    <col min="15622" max="15623" width="10.375" customWidth="1"/>
    <col min="15624" max="15624" width="8.375" customWidth="1"/>
    <col min="15625" max="15625" width="9" customWidth="1"/>
    <col min="15626" max="15626" width="10" customWidth="1"/>
    <col min="15627" max="15627" width="9.375" customWidth="1"/>
    <col min="15629" max="15630" width="8.125" bestFit="1" customWidth="1"/>
    <col min="15873" max="15873" width="30.375" customWidth="1"/>
    <col min="15874" max="15874" width="9.375" customWidth="1"/>
    <col min="15875" max="15875" width="10.375" customWidth="1"/>
    <col min="15876" max="15876" width="10" customWidth="1"/>
    <col min="15877" max="15877" width="10.125" customWidth="1"/>
    <col min="15878" max="15879" width="10.375" customWidth="1"/>
    <col min="15880" max="15880" width="8.375" customWidth="1"/>
    <col min="15881" max="15881" width="9" customWidth="1"/>
    <col min="15882" max="15882" width="10" customWidth="1"/>
    <col min="15883" max="15883" width="9.375" customWidth="1"/>
    <col min="15885" max="15886" width="8.125" bestFit="1" customWidth="1"/>
    <col min="16129" max="16129" width="30.375" customWidth="1"/>
    <col min="16130" max="16130" width="9.375" customWidth="1"/>
    <col min="16131" max="16131" width="10.375" customWidth="1"/>
    <col min="16132" max="16132" width="10" customWidth="1"/>
    <col min="16133" max="16133" width="10.125" customWidth="1"/>
    <col min="16134" max="16135" width="10.375" customWidth="1"/>
    <col min="16136" max="16136" width="8.375" customWidth="1"/>
    <col min="16137" max="16137" width="9" customWidth="1"/>
    <col min="16138" max="16138" width="10" customWidth="1"/>
    <col min="16139" max="16139" width="9.375" customWidth="1"/>
    <col min="16141" max="16142" width="8.125" bestFit="1" customWidth="1"/>
  </cols>
  <sheetData>
    <row r="1" spans="1:14" ht="20.25" customHeight="1" x14ac:dyDescent="0.3">
      <c r="A1" s="331" t="s">
        <v>80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4" ht="20.25" customHeight="1" x14ac:dyDescent="0.3">
      <c r="A2" s="332" t="s">
        <v>79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4" ht="21.6" customHeight="1" thickBot="1" x14ac:dyDescent="0.3">
      <c r="A3" s="333" t="s">
        <v>194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</row>
    <row r="4" spans="1:14" ht="21.75" customHeight="1" thickTop="1" x14ac:dyDescent="0.2">
      <c r="A4" s="335" t="s">
        <v>90</v>
      </c>
      <c r="B4" s="337" t="s">
        <v>91</v>
      </c>
      <c r="C4" s="339" t="s">
        <v>92</v>
      </c>
      <c r="D4" s="339" t="s">
        <v>192</v>
      </c>
      <c r="E4" s="341" t="s">
        <v>93</v>
      </c>
      <c r="F4" s="342"/>
      <c r="G4" s="339" t="s">
        <v>83</v>
      </c>
      <c r="H4" s="341" t="s">
        <v>2</v>
      </c>
      <c r="I4" s="343"/>
      <c r="J4" s="342"/>
      <c r="K4" s="345" t="s">
        <v>94</v>
      </c>
      <c r="L4" s="162"/>
      <c r="M4" s="162"/>
    </row>
    <row r="5" spans="1:14" ht="45.75" customHeight="1" x14ac:dyDescent="0.2">
      <c r="A5" s="336"/>
      <c r="B5" s="338"/>
      <c r="C5" s="340"/>
      <c r="D5" s="340"/>
      <c r="E5" s="163" t="s">
        <v>95</v>
      </c>
      <c r="F5" s="163" t="s">
        <v>89</v>
      </c>
      <c r="G5" s="340"/>
      <c r="H5" s="164" t="s">
        <v>3</v>
      </c>
      <c r="I5" s="164" t="s">
        <v>96</v>
      </c>
      <c r="J5" s="164" t="s">
        <v>97</v>
      </c>
      <c r="K5" s="346"/>
      <c r="L5" s="162"/>
      <c r="M5" s="162"/>
    </row>
    <row r="6" spans="1:14" ht="20.100000000000001" customHeight="1" x14ac:dyDescent="0.2">
      <c r="A6" s="165" t="s">
        <v>98</v>
      </c>
      <c r="B6" s="166"/>
      <c r="C6" s="166"/>
      <c r="D6" s="166"/>
      <c r="E6" s="167"/>
      <c r="F6" s="167"/>
      <c r="G6" s="167"/>
      <c r="H6" s="168"/>
      <c r="I6" s="168"/>
      <c r="J6" s="168"/>
      <c r="K6" s="169"/>
      <c r="L6" s="162"/>
      <c r="M6" s="170"/>
    </row>
    <row r="7" spans="1:14" ht="20.100000000000001" customHeight="1" x14ac:dyDescent="0.2">
      <c r="A7" s="165" t="s">
        <v>99</v>
      </c>
      <c r="B7" s="166"/>
      <c r="C7" s="166"/>
      <c r="D7" s="166"/>
      <c r="E7" s="167"/>
      <c r="F7" s="167"/>
      <c r="G7" s="167"/>
      <c r="H7" s="168"/>
      <c r="I7" s="168"/>
      <c r="J7" s="168"/>
      <c r="K7" s="169"/>
      <c r="L7" s="162"/>
      <c r="M7" s="162"/>
    </row>
    <row r="8" spans="1:14" ht="20.100000000000001" customHeight="1" x14ac:dyDescent="0.2">
      <c r="A8" s="165" t="s">
        <v>100</v>
      </c>
      <c r="B8" s="171"/>
      <c r="C8" s="171"/>
      <c r="D8" s="171"/>
      <c r="E8" s="172"/>
      <c r="F8" s="173"/>
      <c r="G8" s="173"/>
      <c r="H8" s="174"/>
      <c r="I8" s="174"/>
      <c r="J8" s="174"/>
      <c r="K8" s="169"/>
      <c r="L8" s="162"/>
      <c r="M8" s="162"/>
      <c r="N8" s="162"/>
    </row>
    <row r="9" spans="1:14" ht="20.100000000000001" customHeight="1" x14ac:dyDescent="0.2">
      <c r="A9" s="175" t="s">
        <v>101</v>
      </c>
      <c r="B9" s="176" t="s">
        <v>102</v>
      </c>
      <c r="C9" s="177">
        <f>C10+C11</f>
        <v>4240</v>
      </c>
      <c r="D9" s="177">
        <f>D10+D11</f>
        <v>2694</v>
      </c>
      <c r="E9" s="178">
        <v>4500</v>
      </c>
      <c r="F9" s="177">
        <f>F10+F11</f>
        <v>2703.5</v>
      </c>
      <c r="G9" s="177">
        <f>G10+G11</f>
        <v>4500</v>
      </c>
      <c r="H9" s="179">
        <f t="shared" ref="H9:H14" si="0">F9/D9*100</f>
        <v>100.35263548626578</v>
      </c>
      <c r="I9" s="180">
        <f t="shared" ref="I9:I14" si="1">F9/E9*100</f>
        <v>60.077777777777776</v>
      </c>
      <c r="J9" s="177">
        <f t="shared" ref="J9:J14" si="2">G9/C9*100</f>
        <v>106.13207547169812</v>
      </c>
      <c r="K9" s="181"/>
      <c r="L9" s="162"/>
      <c r="M9" s="162"/>
    </row>
    <row r="10" spans="1:14" ht="20.100000000000001" customHeight="1" x14ac:dyDescent="0.2">
      <c r="A10" s="182" t="s">
        <v>103</v>
      </c>
      <c r="B10" s="183" t="s">
        <v>102</v>
      </c>
      <c r="C10" s="184">
        <v>3212</v>
      </c>
      <c r="D10" s="184">
        <v>2006</v>
      </c>
      <c r="E10" s="185">
        <v>3460</v>
      </c>
      <c r="F10" s="184">
        <v>1962</v>
      </c>
      <c r="G10" s="184">
        <v>3460</v>
      </c>
      <c r="H10" s="186">
        <f t="shared" si="0"/>
        <v>97.806580259222329</v>
      </c>
      <c r="I10" s="187">
        <f t="shared" si="1"/>
        <v>56.705202312138724</v>
      </c>
      <c r="J10" s="184">
        <f t="shared" si="2"/>
        <v>107.72104607721047</v>
      </c>
      <c r="K10" s="188"/>
      <c r="L10" s="162"/>
      <c r="M10" s="162"/>
    </row>
    <row r="11" spans="1:14" ht="20.100000000000001" customHeight="1" x14ac:dyDescent="0.2">
      <c r="A11" s="182" t="s">
        <v>104</v>
      </c>
      <c r="B11" s="183" t="s">
        <v>102</v>
      </c>
      <c r="C11" s="184">
        <v>1028</v>
      </c>
      <c r="D11" s="184">
        <v>688</v>
      </c>
      <c r="E11" s="185">
        <f>E9-E10</f>
        <v>1040</v>
      </c>
      <c r="F11" s="184">
        <v>741.5</v>
      </c>
      <c r="G11" s="184">
        <v>1040</v>
      </c>
      <c r="H11" s="186">
        <f t="shared" si="0"/>
        <v>107.77616279069768</v>
      </c>
      <c r="I11" s="187">
        <f t="shared" si="1"/>
        <v>71.29807692307692</v>
      </c>
      <c r="J11" s="184">
        <f t="shared" si="2"/>
        <v>101.16731517509727</v>
      </c>
      <c r="K11" s="188"/>
      <c r="L11" s="162"/>
      <c r="M11" s="162"/>
    </row>
    <row r="12" spans="1:14" ht="20.100000000000001" customHeight="1" x14ac:dyDescent="0.2">
      <c r="A12" s="189" t="s">
        <v>105</v>
      </c>
      <c r="B12" s="183" t="s">
        <v>102</v>
      </c>
      <c r="C12" s="184">
        <v>12</v>
      </c>
      <c r="D12" s="184">
        <v>12</v>
      </c>
      <c r="E12" s="185">
        <v>15.6</v>
      </c>
      <c r="F12" s="184">
        <v>12.5</v>
      </c>
      <c r="G12" s="184">
        <v>15.6</v>
      </c>
      <c r="H12" s="186">
        <f t="shared" si="0"/>
        <v>104.16666666666667</v>
      </c>
      <c r="I12" s="187">
        <f t="shared" si="1"/>
        <v>80.128205128205138</v>
      </c>
      <c r="J12" s="184">
        <f t="shared" si="2"/>
        <v>130</v>
      </c>
      <c r="K12" s="188"/>
      <c r="L12" s="162"/>
      <c r="M12" s="162"/>
    </row>
    <row r="13" spans="1:14" ht="20.100000000000001" customHeight="1" x14ac:dyDescent="0.2">
      <c r="A13" s="189" t="s">
        <v>106</v>
      </c>
      <c r="B13" s="183" t="s">
        <v>102</v>
      </c>
      <c r="C13" s="184">
        <v>18425</v>
      </c>
      <c r="D13" s="184">
        <v>3500</v>
      </c>
      <c r="E13" s="185">
        <v>15000</v>
      </c>
      <c r="F13" s="184">
        <v>3800</v>
      </c>
      <c r="G13" s="184">
        <v>13313</v>
      </c>
      <c r="H13" s="186">
        <f t="shared" si="0"/>
        <v>108.57142857142857</v>
      </c>
      <c r="I13" s="187">
        <f t="shared" si="1"/>
        <v>25.333333333333336</v>
      </c>
      <c r="J13" s="184">
        <f t="shared" si="2"/>
        <v>72.255088195386705</v>
      </c>
      <c r="K13" s="188"/>
      <c r="L13" s="162"/>
      <c r="M13" s="162"/>
    </row>
    <row r="14" spans="1:14" ht="20.100000000000001" customHeight="1" x14ac:dyDescent="0.2">
      <c r="A14" s="190" t="s">
        <v>107</v>
      </c>
      <c r="B14" s="191" t="s">
        <v>102</v>
      </c>
      <c r="C14" s="192">
        <v>11025</v>
      </c>
      <c r="D14" s="192">
        <v>3000</v>
      </c>
      <c r="E14" s="193">
        <v>11501</v>
      </c>
      <c r="F14" s="192">
        <v>3000</v>
      </c>
      <c r="G14" s="192">
        <v>11501</v>
      </c>
      <c r="H14" s="194">
        <f t="shared" si="0"/>
        <v>100</v>
      </c>
      <c r="I14" s="195">
        <f t="shared" si="1"/>
        <v>26.084688287974959</v>
      </c>
      <c r="J14" s="192">
        <f t="shared" si="2"/>
        <v>104.31746031746032</v>
      </c>
      <c r="K14" s="196"/>
      <c r="L14" s="162"/>
      <c r="M14" s="162"/>
    </row>
    <row r="15" spans="1:14" ht="20.100000000000001" customHeight="1" x14ac:dyDescent="0.2">
      <c r="A15" s="197" t="s">
        <v>108</v>
      </c>
      <c r="B15" s="198"/>
      <c r="C15" s="199"/>
      <c r="D15" s="200"/>
      <c r="E15" s="201"/>
      <c r="F15" s="200"/>
      <c r="G15" s="199"/>
      <c r="H15" s="202"/>
      <c r="I15" s="202"/>
      <c r="J15" s="202"/>
      <c r="K15" s="203"/>
      <c r="L15" s="162"/>
      <c r="M15" s="162"/>
    </row>
    <row r="16" spans="1:14" ht="20.100000000000001" customHeight="1" x14ac:dyDescent="0.2">
      <c r="A16" s="204" t="s">
        <v>109</v>
      </c>
      <c r="B16" s="176" t="s">
        <v>110</v>
      </c>
      <c r="C16" s="177">
        <f>C17+C20+C21+C23+C24+C25+C26+C27+C28+C31</f>
        <v>2229.3000000000002</v>
      </c>
      <c r="D16" s="177">
        <f>D17+D20+D21+D23+D24+D25+D26+D27+D28+D31</f>
        <v>1652</v>
      </c>
      <c r="E16" s="178">
        <f>E17+E20+E21+E23+E24+E25+E26+E27+E28+E31</f>
        <v>2180.1999999999998</v>
      </c>
      <c r="F16" s="177">
        <f>F17+F20+F21+F23+F24+F25+F26+F27+F28+F31</f>
        <v>1690.9</v>
      </c>
      <c r="G16" s="177">
        <f>G17+G20+G21+G23+G24+G25+G26+G27+G28+G31</f>
        <v>2190.6999999999998</v>
      </c>
      <c r="H16" s="205">
        <f>F16/D16*100</f>
        <v>102.35472154963681</v>
      </c>
      <c r="I16" s="177">
        <f>F16/E16*100</f>
        <v>77.557104852765818</v>
      </c>
      <c r="J16" s="177">
        <f t="shared" ref="J16:J29" si="3">G16/C16*100</f>
        <v>98.268514780424326</v>
      </c>
      <c r="K16" s="181"/>
      <c r="L16" s="162"/>
      <c r="M16" s="162"/>
    </row>
    <row r="17" spans="1:13" ht="20.100000000000001" customHeight="1" x14ac:dyDescent="0.2">
      <c r="A17" s="189" t="s">
        <v>111</v>
      </c>
      <c r="B17" s="183" t="s">
        <v>110</v>
      </c>
      <c r="C17" s="184">
        <v>607.5</v>
      </c>
      <c r="D17" s="185">
        <f>D18+D19</f>
        <v>357</v>
      </c>
      <c r="E17" s="185">
        <f>E18+E19</f>
        <v>645</v>
      </c>
      <c r="F17" s="185">
        <f>F18+F19</f>
        <v>348.5</v>
      </c>
      <c r="G17" s="185">
        <f>G18+G19</f>
        <v>643.5</v>
      </c>
      <c r="H17" s="206">
        <f t="shared" ref="H17:H32" si="4">F17/D17*100</f>
        <v>97.61904761904762</v>
      </c>
      <c r="I17" s="184">
        <f t="shared" ref="I17:I32" si="5">F17/E17*100</f>
        <v>54.031007751937985</v>
      </c>
      <c r="J17" s="184">
        <f t="shared" si="3"/>
        <v>105.92592592592594</v>
      </c>
      <c r="K17" s="188"/>
      <c r="L17" s="162"/>
      <c r="M17" s="162"/>
    </row>
    <row r="18" spans="1:13" ht="20.100000000000001" customHeight="1" x14ac:dyDescent="0.2">
      <c r="A18" s="182" t="s">
        <v>112</v>
      </c>
      <c r="B18" s="183" t="s">
        <v>110</v>
      </c>
      <c r="C18" s="184">
        <f>'[2]Năm 2019 '!E20</f>
        <v>357</v>
      </c>
      <c r="D18" s="184">
        <v>357</v>
      </c>
      <c r="E18" s="185">
        <v>350</v>
      </c>
      <c r="F18" s="184">
        <v>348.5</v>
      </c>
      <c r="G18" s="184">
        <v>348.5</v>
      </c>
      <c r="H18" s="206">
        <f t="shared" si="4"/>
        <v>97.61904761904762</v>
      </c>
      <c r="I18" s="184">
        <f t="shared" si="5"/>
        <v>99.571428571428569</v>
      </c>
      <c r="J18" s="184">
        <f t="shared" si="3"/>
        <v>97.61904761904762</v>
      </c>
      <c r="K18" s="188"/>
      <c r="L18" s="162"/>
      <c r="M18" s="162"/>
    </row>
    <row r="19" spans="1:13" ht="20.100000000000001" customHeight="1" x14ac:dyDescent="0.2">
      <c r="A19" s="182" t="s">
        <v>113</v>
      </c>
      <c r="B19" s="183" t="s">
        <v>110</v>
      </c>
      <c r="C19" s="184">
        <f>C17-C18</f>
        <v>250.5</v>
      </c>
      <c r="D19" s="184">
        <v>0</v>
      </c>
      <c r="E19" s="185">
        <v>295</v>
      </c>
      <c r="F19" s="184">
        <v>0</v>
      </c>
      <c r="G19" s="184">
        <v>295</v>
      </c>
      <c r="H19" s="206"/>
      <c r="I19" s="184">
        <f t="shared" si="5"/>
        <v>0</v>
      </c>
      <c r="J19" s="184">
        <f t="shared" si="3"/>
        <v>117.76447105788424</v>
      </c>
      <c r="K19" s="188"/>
      <c r="L19" s="162"/>
      <c r="M19" s="162"/>
    </row>
    <row r="20" spans="1:13" ht="20.100000000000001" customHeight="1" x14ac:dyDescent="0.2">
      <c r="A20" s="189" t="s">
        <v>114</v>
      </c>
      <c r="B20" s="183" t="s">
        <v>110</v>
      </c>
      <c r="C20" s="184">
        <f>'[2]Năm 2019 '!E22</f>
        <v>269</v>
      </c>
      <c r="D20" s="184">
        <v>172</v>
      </c>
      <c r="E20" s="185">
        <v>270</v>
      </c>
      <c r="F20" s="184">
        <v>187</v>
      </c>
      <c r="G20" s="184">
        <v>270</v>
      </c>
      <c r="H20" s="206">
        <f t="shared" si="4"/>
        <v>108.72093023255813</v>
      </c>
      <c r="I20" s="184">
        <f t="shared" si="5"/>
        <v>69.259259259259252</v>
      </c>
      <c r="J20" s="184">
        <f t="shared" si="3"/>
        <v>100.37174721189589</v>
      </c>
      <c r="K20" s="188"/>
      <c r="L20" s="162"/>
      <c r="M20" s="162"/>
    </row>
    <row r="21" spans="1:13" ht="20.100000000000001" customHeight="1" x14ac:dyDescent="0.2">
      <c r="A21" s="189" t="s">
        <v>106</v>
      </c>
      <c r="B21" s="183" t="s">
        <v>110</v>
      </c>
      <c r="C21" s="184">
        <f>'[2]Năm 2019 '!E23</f>
        <v>737</v>
      </c>
      <c r="D21" s="184">
        <v>685</v>
      </c>
      <c r="E21" s="185">
        <v>600</v>
      </c>
      <c r="F21" s="184">
        <f>523.5+86</f>
        <v>609.5</v>
      </c>
      <c r="G21" s="184">
        <v>610</v>
      </c>
      <c r="H21" s="206">
        <f t="shared" si="4"/>
        <v>88.978102189781012</v>
      </c>
      <c r="I21" s="184">
        <f t="shared" si="5"/>
        <v>101.58333333333334</v>
      </c>
      <c r="J21" s="184">
        <f t="shared" si="3"/>
        <v>82.767978290366358</v>
      </c>
      <c r="K21" s="188"/>
      <c r="L21" s="162"/>
      <c r="M21" s="162"/>
    </row>
    <row r="22" spans="1:13" ht="20.100000000000001" customHeight="1" x14ac:dyDescent="0.2">
      <c r="A22" s="182" t="s">
        <v>115</v>
      </c>
      <c r="B22" s="183" t="s">
        <v>110</v>
      </c>
      <c r="C22" s="184">
        <f>'[2]Năm 2019 '!E24</f>
        <v>637</v>
      </c>
      <c r="D22" s="184">
        <v>585</v>
      </c>
      <c r="E22" s="185">
        <v>500</v>
      </c>
      <c r="F22" s="184">
        <v>523.5</v>
      </c>
      <c r="G22" s="184">
        <v>524</v>
      </c>
      <c r="H22" s="206">
        <f t="shared" si="4"/>
        <v>89.487179487179489</v>
      </c>
      <c r="I22" s="184">
        <f t="shared" si="5"/>
        <v>104.69999999999999</v>
      </c>
      <c r="J22" s="184">
        <f t="shared" si="3"/>
        <v>82.260596546310822</v>
      </c>
      <c r="K22" s="188"/>
      <c r="L22" s="162"/>
      <c r="M22" s="162"/>
    </row>
    <row r="23" spans="1:13" ht="20.100000000000001" customHeight="1" x14ac:dyDescent="0.2">
      <c r="A23" s="189" t="s">
        <v>116</v>
      </c>
      <c r="B23" s="183" t="s">
        <v>110</v>
      </c>
      <c r="C23" s="184">
        <v>102</v>
      </c>
      <c r="D23" s="184">
        <v>66</v>
      </c>
      <c r="E23" s="185">
        <v>90</v>
      </c>
      <c r="F23" s="184">
        <v>60.7</v>
      </c>
      <c r="G23" s="184">
        <v>90</v>
      </c>
      <c r="H23" s="206">
        <f t="shared" si="4"/>
        <v>91.969696969696983</v>
      </c>
      <c r="I23" s="184">
        <f t="shared" si="5"/>
        <v>67.444444444444457</v>
      </c>
      <c r="J23" s="184">
        <f t="shared" si="3"/>
        <v>88.235294117647058</v>
      </c>
      <c r="K23" s="188"/>
      <c r="L23" s="162"/>
      <c r="M23" s="162"/>
    </row>
    <row r="24" spans="1:13" ht="20.100000000000001" customHeight="1" x14ac:dyDescent="0.2">
      <c r="A24" s="189" t="s">
        <v>105</v>
      </c>
      <c r="B24" s="183" t="s">
        <v>110</v>
      </c>
      <c r="C24" s="192">
        <v>9.9</v>
      </c>
      <c r="D24" s="184">
        <v>6</v>
      </c>
      <c r="E24" s="185">
        <v>12</v>
      </c>
      <c r="F24" s="184">
        <v>8</v>
      </c>
      <c r="G24" s="184">
        <v>12</v>
      </c>
      <c r="H24" s="206">
        <f t="shared" si="4"/>
        <v>133.33333333333331</v>
      </c>
      <c r="I24" s="184">
        <f t="shared" si="5"/>
        <v>66.666666666666657</v>
      </c>
      <c r="J24" s="184">
        <f t="shared" si="3"/>
        <v>121.21212121212122</v>
      </c>
      <c r="K24" s="188"/>
      <c r="L24" s="162"/>
      <c r="M24" s="162"/>
    </row>
    <row r="25" spans="1:13" ht="20.100000000000001" customHeight="1" x14ac:dyDescent="0.2">
      <c r="A25" s="189" t="s">
        <v>117</v>
      </c>
      <c r="B25" s="183" t="s">
        <v>110</v>
      </c>
      <c r="C25" s="207">
        <v>127.6</v>
      </c>
      <c r="D25" s="184">
        <v>82</v>
      </c>
      <c r="E25" s="185">
        <v>160</v>
      </c>
      <c r="F25" s="184">
        <v>125.4</v>
      </c>
      <c r="G25" s="184">
        <v>160</v>
      </c>
      <c r="H25" s="206">
        <f t="shared" si="4"/>
        <v>152.92682926829269</v>
      </c>
      <c r="I25" s="184">
        <f t="shared" si="5"/>
        <v>78.375</v>
      </c>
      <c r="J25" s="184">
        <f t="shared" si="3"/>
        <v>125.39184952978057</v>
      </c>
      <c r="K25" s="188"/>
      <c r="L25" s="162"/>
      <c r="M25" s="162"/>
    </row>
    <row r="26" spans="1:13" ht="20.100000000000001" customHeight="1" x14ac:dyDescent="0.2">
      <c r="A26" s="190" t="s">
        <v>118</v>
      </c>
      <c r="B26" s="191" t="s">
        <v>110</v>
      </c>
      <c r="C26" s="185">
        <v>217.3</v>
      </c>
      <c r="D26" s="208">
        <v>146</v>
      </c>
      <c r="E26" s="208">
        <v>222</v>
      </c>
      <c r="F26" s="208">
        <v>190.8</v>
      </c>
      <c r="G26" s="209">
        <v>222</v>
      </c>
      <c r="H26" s="209">
        <f>F26/D26*100</f>
        <v>130.68493150684932</v>
      </c>
      <c r="I26" s="192">
        <f>F26/E26*100</f>
        <v>85.945945945945951</v>
      </c>
      <c r="J26" s="192">
        <f t="shared" si="3"/>
        <v>102.16290842153704</v>
      </c>
      <c r="K26" s="210"/>
      <c r="L26" s="162"/>
      <c r="M26" s="162"/>
    </row>
    <row r="27" spans="1:13" ht="20.100000000000001" customHeight="1" x14ac:dyDescent="0.2">
      <c r="A27" s="211" t="s">
        <v>119</v>
      </c>
      <c r="B27" s="212" t="s">
        <v>110</v>
      </c>
      <c r="C27" s="184">
        <v>51</v>
      </c>
      <c r="D27" s="207">
        <v>30</v>
      </c>
      <c r="E27" s="213">
        <v>68</v>
      </c>
      <c r="F27" s="207">
        <v>49</v>
      </c>
      <c r="G27" s="207">
        <v>68</v>
      </c>
      <c r="H27" s="214">
        <f t="shared" si="4"/>
        <v>163.33333333333334</v>
      </c>
      <c r="I27" s="207">
        <f t="shared" si="5"/>
        <v>72.058823529411768</v>
      </c>
      <c r="J27" s="207">
        <f t="shared" si="3"/>
        <v>133.33333333333331</v>
      </c>
      <c r="K27" s="215"/>
      <c r="L27" s="162"/>
      <c r="M27" s="162"/>
    </row>
    <row r="28" spans="1:13" ht="20.100000000000001" customHeight="1" x14ac:dyDescent="0.2">
      <c r="A28" s="189" t="s">
        <v>120</v>
      </c>
      <c r="B28" s="183" t="s">
        <v>110</v>
      </c>
      <c r="C28" s="184">
        <v>26</v>
      </c>
      <c r="D28" s="184">
        <v>26</v>
      </c>
      <c r="E28" s="185">
        <v>25</v>
      </c>
      <c r="F28" s="184">
        <v>27</v>
      </c>
      <c r="G28" s="184">
        <v>27</v>
      </c>
      <c r="H28" s="206">
        <f t="shared" si="4"/>
        <v>103.84615384615385</v>
      </c>
      <c r="I28" s="184">
        <f t="shared" si="5"/>
        <v>108</v>
      </c>
      <c r="J28" s="184">
        <f t="shared" si="3"/>
        <v>103.84615384615385</v>
      </c>
      <c r="K28" s="188"/>
      <c r="L28" s="162"/>
      <c r="M28" s="162"/>
    </row>
    <row r="29" spans="1:13" ht="20.100000000000001" customHeight="1" x14ac:dyDescent="0.2">
      <c r="A29" s="189" t="s">
        <v>121</v>
      </c>
      <c r="B29" s="183" t="s">
        <v>110</v>
      </c>
      <c r="C29" s="185">
        <v>2497</v>
      </c>
      <c r="D29" s="185">
        <v>3100</v>
      </c>
      <c r="E29" s="185">
        <v>2497</v>
      </c>
      <c r="F29" s="185">
        <v>2497</v>
      </c>
      <c r="G29" s="206">
        <v>2497</v>
      </c>
      <c r="H29" s="184">
        <f>E29/D29*100</f>
        <v>80.548387096774192</v>
      </c>
      <c r="I29" s="184">
        <f>F29/E29*100</f>
        <v>100</v>
      </c>
      <c r="J29" s="184">
        <f t="shared" si="3"/>
        <v>100</v>
      </c>
      <c r="K29" s="188"/>
      <c r="L29" s="162"/>
      <c r="M29" s="162"/>
    </row>
    <row r="30" spans="1:13" ht="20.100000000000001" customHeight="1" x14ac:dyDescent="0.2">
      <c r="A30" s="182" t="s">
        <v>122</v>
      </c>
      <c r="B30" s="183" t="s">
        <v>110</v>
      </c>
      <c r="C30" s="184">
        <v>0</v>
      </c>
      <c r="D30" s="184">
        <v>0</v>
      </c>
      <c r="E30" s="185">
        <v>0</v>
      </c>
      <c r="F30" s="184">
        <v>0</v>
      </c>
      <c r="G30" s="184">
        <v>0</v>
      </c>
      <c r="H30" s="206"/>
      <c r="I30" s="184"/>
      <c r="J30" s="184"/>
      <c r="K30" s="188"/>
      <c r="L30" s="162"/>
      <c r="M30" s="162"/>
    </row>
    <row r="31" spans="1:13" ht="20.100000000000001" customHeight="1" x14ac:dyDescent="0.2">
      <c r="A31" s="189" t="s">
        <v>123</v>
      </c>
      <c r="B31" s="183" t="s">
        <v>110</v>
      </c>
      <c r="C31" s="184">
        <v>82</v>
      </c>
      <c r="D31" s="184">
        <v>82</v>
      </c>
      <c r="E31" s="185">
        <v>88.2</v>
      </c>
      <c r="F31" s="184">
        <v>85</v>
      </c>
      <c r="G31" s="184">
        <v>88.2</v>
      </c>
      <c r="H31" s="206">
        <f t="shared" si="4"/>
        <v>103.65853658536585</v>
      </c>
      <c r="I31" s="184">
        <f t="shared" si="5"/>
        <v>96.371882086167787</v>
      </c>
      <c r="J31" s="184">
        <f>G31/C31*100</f>
        <v>107.5609756097561</v>
      </c>
      <c r="K31" s="188"/>
      <c r="L31" s="162"/>
      <c r="M31" s="162"/>
    </row>
    <row r="32" spans="1:13" ht="20.100000000000001" customHeight="1" x14ac:dyDescent="0.2">
      <c r="A32" s="216" t="s">
        <v>124</v>
      </c>
      <c r="B32" s="191" t="s">
        <v>125</v>
      </c>
      <c r="C32" s="217">
        <v>60.6</v>
      </c>
      <c r="D32" s="217">
        <v>60</v>
      </c>
      <c r="E32" s="218">
        <v>64</v>
      </c>
      <c r="F32" s="219">
        <v>60.6</v>
      </c>
      <c r="G32" s="220">
        <v>64</v>
      </c>
      <c r="H32" s="209">
        <f t="shared" si="4"/>
        <v>101</v>
      </c>
      <c r="I32" s="192">
        <f t="shared" si="5"/>
        <v>94.6875</v>
      </c>
      <c r="J32" s="192">
        <f>G32/C32*100</f>
        <v>105.6105610561056</v>
      </c>
      <c r="K32" s="210"/>
      <c r="L32" s="162"/>
      <c r="M32" s="221" t="s">
        <v>126</v>
      </c>
    </row>
    <row r="33" spans="1:14" ht="20.100000000000001" customHeight="1" x14ac:dyDescent="0.2">
      <c r="A33" s="165" t="s">
        <v>127</v>
      </c>
      <c r="B33" s="171"/>
      <c r="C33" s="222"/>
      <c r="D33" s="222"/>
      <c r="E33" s="223"/>
      <c r="F33" s="222"/>
      <c r="G33" s="224"/>
      <c r="H33" s="225"/>
      <c r="I33" s="225"/>
      <c r="J33" s="225"/>
      <c r="K33" s="169"/>
      <c r="L33" s="162"/>
      <c r="M33" s="162"/>
    </row>
    <row r="34" spans="1:14" ht="20.100000000000001" customHeight="1" x14ac:dyDescent="0.2">
      <c r="A34" s="226" t="s">
        <v>128</v>
      </c>
      <c r="B34" s="176" t="s">
        <v>8</v>
      </c>
      <c r="C34" s="177">
        <v>55</v>
      </c>
      <c r="D34" s="177">
        <v>44</v>
      </c>
      <c r="E34" s="178">
        <v>56</v>
      </c>
      <c r="F34" s="177">
        <v>45</v>
      </c>
      <c r="G34" s="177">
        <v>56</v>
      </c>
      <c r="H34" s="186">
        <f>F34/D34*100</f>
        <v>102.27272727272727</v>
      </c>
      <c r="I34" s="187">
        <f>F34/E34*100</f>
        <v>80.357142857142861</v>
      </c>
      <c r="J34" s="184">
        <f>G34/C34*100</f>
        <v>101.81818181818181</v>
      </c>
      <c r="K34" s="181"/>
      <c r="L34" s="162"/>
      <c r="M34" s="162"/>
    </row>
    <row r="35" spans="1:14" ht="20.100000000000001" customHeight="1" x14ac:dyDescent="0.2">
      <c r="A35" s="227" t="s">
        <v>129</v>
      </c>
      <c r="B35" s="183" t="s">
        <v>8</v>
      </c>
      <c r="C35" s="184">
        <v>44.5</v>
      </c>
      <c r="D35" s="184">
        <v>42</v>
      </c>
      <c r="E35" s="185">
        <v>46</v>
      </c>
      <c r="F35" s="184">
        <v>42.5</v>
      </c>
      <c r="G35" s="184">
        <v>46</v>
      </c>
      <c r="H35" s="186">
        <f>F35/D35*100</f>
        <v>101.19047619047619</v>
      </c>
      <c r="I35" s="187">
        <f>F35/E35*100</f>
        <v>92.391304347826093</v>
      </c>
      <c r="J35" s="184">
        <f>G35/C35*100</f>
        <v>103.37078651685394</v>
      </c>
      <c r="K35" s="188"/>
      <c r="L35" s="162"/>
      <c r="M35" s="162"/>
    </row>
    <row r="36" spans="1:14" ht="20.100000000000001" customHeight="1" x14ac:dyDescent="0.2">
      <c r="A36" s="228" t="s">
        <v>130</v>
      </c>
      <c r="B36" s="191" t="s">
        <v>8</v>
      </c>
      <c r="C36" s="217">
        <v>45</v>
      </c>
      <c r="D36" s="217">
        <v>35</v>
      </c>
      <c r="E36" s="229">
        <v>50.2</v>
      </c>
      <c r="F36" s="217">
        <v>35</v>
      </c>
      <c r="G36" s="220">
        <v>51</v>
      </c>
      <c r="H36" s="194">
        <f>F36/D36*100</f>
        <v>100</v>
      </c>
      <c r="I36" s="195">
        <f>F36/E36*100</f>
        <v>69.721115537848604</v>
      </c>
      <c r="J36" s="192">
        <f>G36/C36*100</f>
        <v>113.33333333333333</v>
      </c>
      <c r="K36" s="210"/>
      <c r="L36" s="162"/>
      <c r="M36" s="162"/>
    </row>
    <row r="37" spans="1:14" ht="20.100000000000001" customHeight="1" x14ac:dyDescent="0.2">
      <c r="A37" s="165" t="s">
        <v>131</v>
      </c>
      <c r="B37" s="166"/>
      <c r="C37" s="230"/>
      <c r="D37" s="230"/>
      <c r="E37" s="231"/>
      <c r="F37" s="230"/>
      <c r="G37" s="230"/>
      <c r="H37" s="232"/>
      <c r="I37" s="232"/>
      <c r="J37" s="232"/>
      <c r="K37" s="169"/>
      <c r="L37" s="162"/>
      <c r="M37" s="162"/>
    </row>
    <row r="38" spans="1:14" ht="20.100000000000001" customHeight="1" x14ac:dyDescent="0.2">
      <c r="A38" s="211" t="s">
        <v>132</v>
      </c>
      <c r="B38" s="212" t="s">
        <v>133</v>
      </c>
      <c r="C38" s="233">
        <v>2177</v>
      </c>
      <c r="D38" s="233">
        <v>1788</v>
      </c>
      <c r="E38" s="234">
        <v>1650</v>
      </c>
      <c r="F38" s="233">
        <v>1650</v>
      </c>
      <c r="G38" s="234">
        <f>E38</f>
        <v>1650</v>
      </c>
      <c r="H38" s="235">
        <f>F38/D38*100</f>
        <v>92.281879194630861</v>
      </c>
      <c r="I38" s="236">
        <f>F38/E38*100</f>
        <v>100</v>
      </c>
      <c r="J38" s="207">
        <f t="shared" ref="J38:J46" si="6">G38/C38*100</f>
        <v>75.792374827744595</v>
      </c>
      <c r="K38" s="237"/>
      <c r="L38" s="162"/>
      <c r="M38" s="170"/>
    </row>
    <row r="39" spans="1:14" ht="20.100000000000001" customHeight="1" x14ac:dyDescent="0.2">
      <c r="A39" s="189" t="s">
        <v>134</v>
      </c>
      <c r="B39" s="183" t="s">
        <v>133</v>
      </c>
      <c r="C39" s="238">
        <v>3530</v>
      </c>
      <c r="D39" s="238">
        <v>2800</v>
      </c>
      <c r="E39" s="239">
        <v>3000</v>
      </c>
      <c r="F39" s="238">
        <v>2750</v>
      </c>
      <c r="G39" s="234">
        <f t="shared" ref="G39:G46" si="7">E39</f>
        <v>3000</v>
      </c>
      <c r="H39" s="186">
        <f t="shared" ref="H39:H46" si="8">F39/D39*100</f>
        <v>98.214285714285708</v>
      </c>
      <c r="I39" s="187">
        <f t="shared" ref="I39:I46" si="9">F39/E39*100</f>
        <v>91.666666666666657</v>
      </c>
      <c r="J39" s="184">
        <f t="shared" si="6"/>
        <v>84.985835694050991</v>
      </c>
      <c r="K39" s="240"/>
      <c r="L39" s="162"/>
      <c r="M39" s="170"/>
    </row>
    <row r="40" spans="1:14" ht="20.100000000000001" customHeight="1" x14ac:dyDescent="0.2">
      <c r="A40" s="241" t="s">
        <v>135</v>
      </c>
      <c r="B40" s="183" t="s">
        <v>133</v>
      </c>
      <c r="C40" s="238">
        <v>2224</v>
      </c>
      <c r="D40" s="238">
        <v>1500</v>
      </c>
      <c r="E40" s="239">
        <v>2100</v>
      </c>
      <c r="F40" s="238">
        <v>1950</v>
      </c>
      <c r="G40" s="234">
        <f t="shared" si="7"/>
        <v>2100</v>
      </c>
      <c r="H40" s="186">
        <f t="shared" si="8"/>
        <v>130</v>
      </c>
      <c r="I40" s="187">
        <f t="shared" si="9"/>
        <v>92.857142857142861</v>
      </c>
      <c r="J40" s="184">
        <f t="shared" si="6"/>
        <v>94.42446043165468</v>
      </c>
      <c r="K40" s="188"/>
      <c r="L40" s="162"/>
      <c r="M40" s="170"/>
      <c r="N40" s="242"/>
    </row>
    <row r="41" spans="1:14" s="244" customFormat="1" ht="20.100000000000001" customHeight="1" x14ac:dyDescent="0.2">
      <c r="A41" s="189" t="s">
        <v>136</v>
      </c>
      <c r="B41" s="183" t="s">
        <v>137</v>
      </c>
      <c r="C41" s="238">
        <v>14200</v>
      </c>
      <c r="D41" s="238">
        <v>16817</v>
      </c>
      <c r="E41" s="239">
        <v>20000</v>
      </c>
      <c r="F41" s="238">
        <v>7753</v>
      </c>
      <c r="G41" s="234">
        <f t="shared" si="7"/>
        <v>20000</v>
      </c>
      <c r="H41" s="186">
        <f t="shared" si="8"/>
        <v>46.102158530058865</v>
      </c>
      <c r="I41" s="187">
        <f t="shared" si="9"/>
        <v>38.765000000000001</v>
      </c>
      <c r="J41" s="184">
        <f t="shared" si="6"/>
        <v>140.8450704225352</v>
      </c>
      <c r="K41" s="240"/>
      <c r="L41" s="162"/>
      <c r="M41" s="170"/>
      <c r="N41" s="243"/>
    </row>
    <row r="42" spans="1:14" s="244" customFormat="1" ht="20.100000000000001" customHeight="1" x14ac:dyDescent="0.2">
      <c r="A42" s="245" t="s">
        <v>138</v>
      </c>
      <c r="B42" s="183" t="s">
        <v>133</v>
      </c>
      <c r="C42" s="238">
        <v>6500</v>
      </c>
      <c r="D42" s="238">
        <v>8200</v>
      </c>
      <c r="E42" s="239">
        <v>9000</v>
      </c>
      <c r="F42" s="238">
        <v>5835</v>
      </c>
      <c r="G42" s="234">
        <f t="shared" si="7"/>
        <v>9000</v>
      </c>
      <c r="H42" s="186">
        <f>F42/D42*100</f>
        <v>71.158536585365852</v>
      </c>
      <c r="I42" s="187">
        <f>F42/E42*100</f>
        <v>64.833333333333329</v>
      </c>
      <c r="J42" s="184">
        <f t="shared" si="6"/>
        <v>138.46153846153845</v>
      </c>
      <c r="K42" s="240"/>
      <c r="L42" s="221" t="s">
        <v>139</v>
      </c>
      <c r="M42" s="170"/>
      <c r="N42" s="243"/>
    </row>
    <row r="43" spans="1:14" ht="20.100000000000001" customHeight="1" x14ac:dyDescent="0.2">
      <c r="A43" s="246" t="s">
        <v>140</v>
      </c>
      <c r="B43" s="183" t="s">
        <v>133</v>
      </c>
      <c r="C43" s="238">
        <v>850</v>
      </c>
      <c r="D43" s="238">
        <v>1010</v>
      </c>
      <c r="E43" s="239">
        <v>1100</v>
      </c>
      <c r="F43" s="238">
        <v>810</v>
      </c>
      <c r="G43" s="234">
        <f t="shared" si="7"/>
        <v>1100</v>
      </c>
      <c r="H43" s="186">
        <f t="shared" si="8"/>
        <v>80.198019801980209</v>
      </c>
      <c r="I43" s="187">
        <f t="shared" si="9"/>
        <v>73.636363636363626</v>
      </c>
      <c r="J43" s="184">
        <f t="shared" si="6"/>
        <v>129.41176470588235</v>
      </c>
      <c r="K43" s="188"/>
      <c r="L43" s="162"/>
      <c r="M43" s="162"/>
    </row>
    <row r="44" spans="1:14" ht="20.100000000000001" customHeight="1" x14ac:dyDescent="0.2">
      <c r="A44" s="189" t="s">
        <v>141</v>
      </c>
      <c r="B44" s="183" t="s">
        <v>137</v>
      </c>
      <c r="C44" s="238">
        <v>250000</v>
      </c>
      <c r="D44" s="238">
        <v>160000</v>
      </c>
      <c r="E44" s="239">
        <v>300000</v>
      </c>
      <c r="F44" s="238">
        <v>165000</v>
      </c>
      <c r="G44" s="234">
        <f t="shared" si="7"/>
        <v>300000</v>
      </c>
      <c r="H44" s="186">
        <f t="shared" si="8"/>
        <v>103.125</v>
      </c>
      <c r="I44" s="187">
        <f t="shared" si="9"/>
        <v>55.000000000000007</v>
      </c>
      <c r="J44" s="184">
        <f t="shared" si="6"/>
        <v>120</v>
      </c>
      <c r="K44" s="188"/>
      <c r="L44" s="162"/>
      <c r="M44" s="162"/>
      <c r="N44" s="242"/>
    </row>
    <row r="45" spans="1:14" ht="20.100000000000001" customHeight="1" x14ac:dyDescent="0.2">
      <c r="A45" s="189" t="s">
        <v>142</v>
      </c>
      <c r="B45" s="183" t="s">
        <v>143</v>
      </c>
      <c r="C45" s="238">
        <v>730</v>
      </c>
      <c r="D45" s="238">
        <v>1500</v>
      </c>
      <c r="E45" s="239">
        <v>750</v>
      </c>
      <c r="F45" s="238">
        <v>750</v>
      </c>
      <c r="G45" s="234">
        <f t="shared" si="7"/>
        <v>750</v>
      </c>
      <c r="H45" s="186">
        <f t="shared" si="8"/>
        <v>50</v>
      </c>
      <c r="I45" s="187">
        <f t="shared" si="9"/>
        <v>100</v>
      </c>
      <c r="J45" s="184">
        <f t="shared" si="6"/>
        <v>102.73972602739727</v>
      </c>
      <c r="K45" s="188"/>
      <c r="L45" s="162"/>
      <c r="M45" s="162"/>
    </row>
    <row r="46" spans="1:14" ht="20.100000000000001" customHeight="1" x14ac:dyDescent="0.2">
      <c r="A46" s="190" t="s">
        <v>144</v>
      </c>
      <c r="B46" s="191" t="s">
        <v>102</v>
      </c>
      <c r="C46" s="192">
        <f>C45*50/1000</f>
        <v>36.5</v>
      </c>
      <c r="D46" s="192">
        <f>D45*10/1000</f>
        <v>15</v>
      </c>
      <c r="E46" s="208">
        <v>36.5</v>
      </c>
      <c r="F46" s="192">
        <v>16</v>
      </c>
      <c r="G46" s="247">
        <f t="shared" si="7"/>
        <v>36.5</v>
      </c>
      <c r="H46" s="186">
        <f t="shared" si="8"/>
        <v>106.66666666666667</v>
      </c>
      <c r="I46" s="187">
        <f t="shared" si="9"/>
        <v>43.835616438356162</v>
      </c>
      <c r="J46" s="184">
        <f t="shared" si="6"/>
        <v>100</v>
      </c>
      <c r="K46" s="210"/>
      <c r="L46" s="162"/>
      <c r="M46" s="162"/>
    </row>
    <row r="47" spans="1:14" ht="20.100000000000001" customHeight="1" x14ac:dyDescent="0.2">
      <c r="A47" s="165" t="s">
        <v>145</v>
      </c>
      <c r="B47" s="166"/>
      <c r="C47" s="230"/>
      <c r="D47" s="230"/>
      <c r="E47" s="231"/>
      <c r="F47" s="230"/>
      <c r="G47" s="230"/>
      <c r="H47" s="232"/>
      <c r="I47" s="232"/>
      <c r="J47" s="232"/>
      <c r="K47" s="169"/>
      <c r="L47" s="162"/>
      <c r="M47" s="162"/>
    </row>
    <row r="48" spans="1:14" ht="20.100000000000001" customHeight="1" x14ac:dyDescent="0.2">
      <c r="A48" s="175" t="s">
        <v>146</v>
      </c>
      <c r="B48" s="176" t="s">
        <v>110</v>
      </c>
      <c r="C48" s="248">
        <v>56045</v>
      </c>
      <c r="D48" s="177">
        <v>56045</v>
      </c>
      <c r="E48" s="178">
        <v>56045</v>
      </c>
      <c r="F48" s="177">
        <v>56045</v>
      </c>
      <c r="G48" s="177">
        <v>56045</v>
      </c>
      <c r="H48" s="205">
        <f>F48/D48*100</f>
        <v>100</v>
      </c>
      <c r="I48" s="177">
        <f>F48/E48*100</f>
        <v>100</v>
      </c>
      <c r="J48" s="177">
        <f>G48/C48*100</f>
        <v>100</v>
      </c>
      <c r="K48" s="181"/>
      <c r="L48" s="162"/>
      <c r="M48" s="249">
        <f>D49+922.65</f>
        <v>7098.65</v>
      </c>
    </row>
    <row r="49" spans="1:13" ht="20.100000000000001" customHeight="1" x14ac:dyDescent="0.2">
      <c r="A49" s="189" t="s">
        <v>147</v>
      </c>
      <c r="B49" s="183" t="s">
        <v>110</v>
      </c>
      <c r="C49" s="207">
        <v>7098.7</v>
      </c>
      <c r="D49" s="184">
        <v>6176</v>
      </c>
      <c r="E49" s="250">
        <v>7098.7</v>
      </c>
      <c r="F49" s="184">
        <v>7098.7</v>
      </c>
      <c r="G49" s="251">
        <v>7098.7</v>
      </c>
      <c r="H49" s="206">
        <f t="shared" ref="H49:H67" si="10">F49/D49*100</f>
        <v>114.94009067357513</v>
      </c>
      <c r="I49" s="184">
        <f t="shared" ref="I49:I67" si="11">F49/E49*100</f>
        <v>100</v>
      </c>
      <c r="J49" s="184">
        <f>G49/C49*100</f>
        <v>100</v>
      </c>
      <c r="K49" s="188"/>
      <c r="L49" s="162"/>
      <c r="M49" s="162"/>
    </row>
    <row r="50" spans="1:13" ht="20.100000000000001" customHeight="1" x14ac:dyDescent="0.2">
      <c r="A50" s="252" t="s">
        <v>148</v>
      </c>
      <c r="B50" s="191" t="s">
        <v>110</v>
      </c>
      <c r="C50" s="192">
        <v>0</v>
      </c>
      <c r="D50" s="192">
        <v>0</v>
      </c>
      <c r="E50" s="253">
        <v>0</v>
      </c>
      <c r="F50" s="192">
        <v>0</v>
      </c>
      <c r="G50" s="254">
        <v>0</v>
      </c>
      <c r="H50" s="209"/>
      <c r="I50" s="192"/>
      <c r="J50" s="192"/>
      <c r="K50" s="255"/>
      <c r="L50" s="162"/>
      <c r="M50" s="162"/>
    </row>
    <row r="51" spans="1:13" ht="20.100000000000001" customHeight="1" x14ac:dyDescent="0.2">
      <c r="A51" s="256" t="s">
        <v>149</v>
      </c>
      <c r="B51" s="198" t="s">
        <v>150</v>
      </c>
      <c r="C51" s="199">
        <v>10.5</v>
      </c>
      <c r="D51" s="199">
        <v>0.5</v>
      </c>
      <c r="E51" s="257">
        <v>10</v>
      </c>
      <c r="F51" s="199">
        <v>2</v>
      </c>
      <c r="G51" s="258">
        <v>20</v>
      </c>
      <c r="H51" s="259">
        <f t="shared" si="10"/>
        <v>400</v>
      </c>
      <c r="I51" s="199">
        <f t="shared" si="11"/>
        <v>20</v>
      </c>
      <c r="J51" s="199">
        <f t="shared" ref="J51:J61" si="12">G51/C51*100</f>
        <v>190.47619047619045</v>
      </c>
      <c r="K51" s="260"/>
      <c r="L51" s="162"/>
      <c r="M51" s="162"/>
    </row>
    <row r="52" spans="1:13" ht="20.100000000000001" customHeight="1" x14ac:dyDescent="0.2">
      <c r="A52" s="261" t="s">
        <v>151</v>
      </c>
      <c r="B52" s="212" t="s">
        <v>110</v>
      </c>
      <c r="C52" s="262">
        <v>6300</v>
      </c>
      <c r="D52" s="207">
        <f>D53+D54</f>
        <v>2750</v>
      </c>
      <c r="E52" s="213">
        <v>6500</v>
      </c>
      <c r="F52" s="207">
        <v>3300</v>
      </c>
      <c r="G52" s="207">
        <f>G53+G54</f>
        <v>5300</v>
      </c>
      <c r="H52" s="235">
        <f t="shared" si="10"/>
        <v>120</v>
      </c>
      <c r="I52" s="236">
        <f t="shared" si="11"/>
        <v>50.769230769230766</v>
      </c>
      <c r="J52" s="207">
        <f t="shared" si="12"/>
        <v>84.126984126984127</v>
      </c>
      <c r="K52" s="215"/>
      <c r="L52" s="162"/>
      <c r="M52" s="162"/>
    </row>
    <row r="53" spans="1:13" ht="20.100000000000001" customHeight="1" x14ac:dyDescent="0.2">
      <c r="A53" s="263" t="s">
        <v>152</v>
      </c>
      <c r="B53" s="183" t="s">
        <v>110</v>
      </c>
      <c r="C53" s="264">
        <v>5500</v>
      </c>
      <c r="D53" s="184">
        <v>2500</v>
      </c>
      <c r="E53" s="250">
        <v>5700</v>
      </c>
      <c r="F53" s="184">
        <f>F52-F54</f>
        <v>2800</v>
      </c>
      <c r="G53" s="251">
        <v>5000</v>
      </c>
      <c r="H53" s="186">
        <f t="shared" si="10"/>
        <v>112.00000000000001</v>
      </c>
      <c r="I53" s="187">
        <f t="shared" si="11"/>
        <v>49.122807017543856</v>
      </c>
      <c r="J53" s="184">
        <f t="shared" si="12"/>
        <v>90.909090909090907</v>
      </c>
      <c r="K53" s="265"/>
      <c r="L53" s="162"/>
      <c r="M53" s="170"/>
    </row>
    <row r="54" spans="1:13" ht="20.100000000000001" customHeight="1" x14ac:dyDescent="0.2">
      <c r="A54" s="266" t="s">
        <v>153</v>
      </c>
      <c r="B54" s="183" t="s">
        <v>110</v>
      </c>
      <c r="C54" s="184">
        <v>800</v>
      </c>
      <c r="D54" s="184">
        <v>250</v>
      </c>
      <c r="E54" s="250">
        <v>800</v>
      </c>
      <c r="F54" s="184">
        <v>500</v>
      </c>
      <c r="G54" s="251">
        <v>300</v>
      </c>
      <c r="H54" s="186">
        <f t="shared" si="10"/>
        <v>200</v>
      </c>
      <c r="I54" s="187">
        <f t="shared" si="11"/>
        <v>62.5</v>
      </c>
      <c r="J54" s="184">
        <f t="shared" si="12"/>
        <v>37.5</v>
      </c>
      <c r="K54" s="188"/>
      <c r="L54" s="162"/>
      <c r="M54" s="162"/>
    </row>
    <row r="55" spans="1:13" ht="20.100000000000001" customHeight="1" x14ac:dyDescent="0.2">
      <c r="A55" s="267" t="s">
        <v>154</v>
      </c>
      <c r="B55" s="183" t="s">
        <v>110</v>
      </c>
      <c r="C55" s="184">
        <f>C56+C57</f>
        <v>33500</v>
      </c>
      <c r="D55" s="184">
        <f>D56+D57</f>
        <v>33000</v>
      </c>
      <c r="E55" s="184">
        <f>E56+E57</f>
        <v>35000</v>
      </c>
      <c r="F55" s="184">
        <f>F56+F57</f>
        <v>29500</v>
      </c>
      <c r="G55" s="184">
        <f>G56+G57</f>
        <v>33000</v>
      </c>
      <c r="H55" s="186">
        <f t="shared" si="10"/>
        <v>89.393939393939391</v>
      </c>
      <c r="I55" s="187">
        <f t="shared" si="11"/>
        <v>84.285714285714292</v>
      </c>
      <c r="J55" s="184">
        <f t="shared" si="12"/>
        <v>98.507462686567166</v>
      </c>
      <c r="K55" s="188"/>
      <c r="L55" s="162"/>
      <c r="M55" s="162"/>
    </row>
    <row r="56" spans="1:13" ht="20.100000000000001" customHeight="1" x14ac:dyDescent="0.2">
      <c r="A56" s="263" t="s">
        <v>155</v>
      </c>
      <c r="B56" s="183" t="s">
        <v>110</v>
      </c>
      <c r="C56" s="184">
        <v>3000</v>
      </c>
      <c r="D56" s="184">
        <v>3000</v>
      </c>
      <c r="E56" s="250">
        <v>3000</v>
      </c>
      <c r="F56" s="184">
        <v>2500</v>
      </c>
      <c r="G56" s="251">
        <v>3000</v>
      </c>
      <c r="H56" s="186">
        <f t="shared" si="10"/>
        <v>83.333333333333343</v>
      </c>
      <c r="I56" s="187">
        <f t="shared" si="11"/>
        <v>83.333333333333343</v>
      </c>
      <c r="J56" s="184">
        <f t="shared" si="12"/>
        <v>100</v>
      </c>
      <c r="K56" s="188"/>
      <c r="L56" s="162"/>
      <c r="M56" s="162"/>
    </row>
    <row r="57" spans="1:13" ht="20.100000000000001" customHeight="1" x14ac:dyDescent="0.2">
      <c r="A57" s="266" t="s">
        <v>156</v>
      </c>
      <c r="B57" s="183" t="s">
        <v>110</v>
      </c>
      <c r="C57" s="184">
        <v>30500</v>
      </c>
      <c r="D57" s="184">
        <v>30000</v>
      </c>
      <c r="E57" s="250">
        <v>32000</v>
      </c>
      <c r="F57" s="184">
        <v>27000</v>
      </c>
      <c r="G57" s="251">
        <v>30000</v>
      </c>
      <c r="H57" s="186">
        <f t="shared" si="10"/>
        <v>90</v>
      </c>
      <c r="I57" s="187">
        <f t="shared" si="11"/>
        <v>84.375</v>
      </c>
      <c r="J57" s="184">
        <f t="shared" si="12"/>
        <v>98.360655737704917</v>
      </c>
      <c r="K57" s="268"/>
      <c r="L57" s="162"/>
      <c r="M57" s="162"/>
    </row>
    <row r="58" spans="1:13" ht="20.100000000000001" customHeight="1" x14ac:dyDescent="0.2">
      <c r="A58" s="267" t="s">
        <v>157</v>
      </c>
      <c r="B58" s="183" t="s">
        <v>110</v>
      </c>
      <c r="C58" s="184">
        <v>50000</v>
      </c>
      <c r="D58" s="184">
        <v>50000</v>
      </c>
      <c r="E58" s="185">
        <v>50000</v>
      </c>
      <c r="F58" s="184">
        <v>50000</v>
      </c>
      <c r="G58" s="184">
        <v>50000</v>
      </c>
      <c r="H58" s="186">
        <f t="shared" si="10"/>
        <v>100</v>
      </c>
      <c r="I58" s="187">
        <f t="shared" si="11"/>
        <v>100</v>
      </c>
      <c r="J58" s="184">
        <f t="shared" si="12"/>
        <v>100</v>
      </c>
      <c r="K58" s="188"/>
      <c r="L58" s="162"/>
      <c r="M58" s="162"/>
    </row>
    <row r="59" spans="1:13" ht="20.100000000000001" customHeight="1" x14ac:dyDescent="0.2">
      <c r="A59" s="263" t="s">
        <v>155</v>
      </c>
      <c r="B59" s="183" t="s">
        <v>110</v>
      </c>
      <c r="C59" s="184">
        <v>6756</v>
      </c>
      <c r="D59" s="184">
        <v>6756</v>
      </c>
      <c r="E59" s="185">
        <v>6756</v>
      </c>
      <c r="F59" s="184">
        <v>6756</v>
      </c>
      <c r="G59" s="184">
        <v>6756</v>
      </c>
      <c r="H59" s="186">
        <f t="shared" si="10"/>
        <v>100</v>
      </c>
      <c r="I59" s="187">
        <f t="shared" si="11"/>
        <v>100</v>
      </c>
      <c r="J59" s="184">
        <f t="shared" si="12"/>
        <v>100</v>
      </c>
      <c r="K59" s="188"/>
      <c r="L59" s="162"/>
      <c r="M59" s="162"/>
    </row>
    <row r="60" spans="1:13" ht="20.100000000000001" customHeight="1" x14ac:dyDescent="0.2">
      <c r="A60" s="269" t="s">
        <v>156</v>
      </c>
      <c r="B60" s="183" t="s">
        <v>110</v>
      </c>
      <c r="C60" s="184">
        <f>C58-C59</f>
        <v>43244</v>
      </c>
      <c r="D60" s="184">
        <f>D58-D59</f>
        <v>43244</v>
      </c>
      <c r="E60" s="184">
        <f>E58-E59</f>
        <v>43244</v>
      </c>
      <c r="F60" s="184">
        <f>F58-F59</f>
        <v>43244</v>
      </c>
      <c r="G60" s="184">
        <f>G58-G59</f>
        <v>43244</v>
      </c>
      <c r="H60" s="186">
        <f t="shared" si="10"/>
        <v>100</v>
      </c>
      <c r="I60" s="187">
        <f t="shared" si="11"/>
        <v>100</v>
      </c>
      <c r="J60" s="184">
        <f t="shared" si="12"/>
        <v>100</v>
      </c>
      <c r="K60" s="188"/>
      <c r="L60" s="162"/>
      <c r="M60" s="162"/>
    </row>
    <row r="61" spans="1:13" ht="20.100000000000001" customHeight="1" x14ac:dyDescent="0.2">
      <c r="A61" s="267" t="s">
        <v>158</v>
      </c>
      <c r="B61" s="183" t="s">
        <v>110</v>
      </c>
      <c r="C61" s="184">
        <v>110</v>
      </c>
      <c r="D61" s="184">
        <v>0</v>
      </c>
      <c r="E61" s="250">
        <v>100</v>
      </c>
      <c r="F61" s="184">
        <v>30</v>
      </c>
      <c r="G61" s="251">
        <v>100</v>
      </c>
      <c r="H61" s="186"/>
      <c r="I61" s="187">
        <f t="shared" si="11"/>
        <v>30</v>
      </c>
      <c r="J61" s="184">
        <f t="shared" si="12"/>
        <v>90.909090909090907</v>
      </c>
      <c r="K61" s="188"/>
      <c r="L61" s="162"/>
      <c r="M61" s="162"/>
    </row>
    <row r="62" spans="1:13" ht="20.100000000000001" customHeight="1" x14ac:dyDescent="0.2">
      <c r="A62" s="267" t="s">
        <v>159</v>
      </c>
      <c r="B62" s="183" t="s">
        <v>110</v>
      </c>
      <c r="C62" s="184">
        <v>6756</v>
      </c>
      <c r="D62" s="184">
        <f>C62</f>
        <v>6756</v>
      </c>
      <c r="E62" s="250">
        <v>6756</v>
      </c>
      <c r="F62" s="184">
        <f>E62</f>
        <v>6756</v>
      </c>
      <c r="G62" s="251">
        <v>6756</v>
      </c>
      <c r="H62" s="186"/>
      <c r="I62" s="187">
        <f t="shared" si="11"/>
        <v>100</v>
      </c>
      <c r="J62" s="184"/>
      <c r="K62" s="265"/>
      <c r="L62" s="162"/>
      <c r="M62" s="162"/>
    </row>
    <row r="63" spans="1:13" ht="20.100000000000001" customHeight="1" x14ac:dyDescent="0.2">
      <c r="A63" s="267" t="s">
        <v>160</v>
      </c>
      <c r="B63" s="183" t="s">
        <v>161</v>
      </c>
      <c r="C63" s="184">
        <v>90</v>
      </c>
      <c r="D63" s="184">
        <v>35</v>
      </c>
      <c r="E63" s="185">
        <v>80</v>
      </c>
      <c r="F63" s="184">
        <v>35</v>
      </c>
      <c r="G63" s="184">
        <v>80</v>
      </c>
      <c r="H63" s="186">
        <f t="shared" si="10"/>
        <v>100</v>
      </c>
      <c r="I63" s="187">
        <f t="shared" si="11"/>
        <v>43.75</v>
      </c>
      <c r="J63" s="184">
        <f>G63/C63*100</f>
        <v>88.888888888888886</v>
      </c>
      <c r="K63" s="188"/>
      <c r="L63" s="162"/>
      <c r="M63" s="162"/>
    </row>
    <row r="64" spans="1:13" ht="20.100000000000001" customHeight="1" x14ac:dyDescent="0.2">
      <c r="A64" s="241" t="s">
        <v>162</v>
      </c>
      <c r="B64" s="183" t="s">
        <v>161</v>
      </c>
      <c r="C64" s="184">
        <v>0</v>
      </c>
      <c r="D64" s="184">
        <v>0</v>
      </c>
      <c r="E64" s="270">
        <v>0</v>
      </c>
      <c r="F64" s="184">
        <v>0</v>
      </c>
      <c r="G64" s="271">
        <v>0</v>
      </c>
      <c r="H64" s="186"/>
      <c r="I64" s="187"/>
      <c r="J64" s="184"/>
      <c r="K64" s="188"/>
      <c r="L64" s="162"/>
      <c r="M64" s="162"/>
    </row>
    <row r="65" spans="1:13" ht="20.100000000000001" customHeight="1" x14ac:dyDescent="0.2">
      <c r="A65" s="272" t="s">
        <v>163</v>
      </c>
      <c r="B65" s="183" t="s">
        <v>161</v>
      </c>
      <c r="C65" s="184">
        <v>90</v>
      </c>
      <c r="D65" s="184">
        <v>35</v>
      </c>
      <c r="E65" s="250">
        <v>90</v>
      </c>
      <c r="F65" s="184">
        <v>50</v>
      </c>
      <c r="G65" s="251">
        <v>90</v>
      </c>
      <c r="H65" s="186">
        <f t="shared" si="10"/>
        <v>142.85714285714286</v>
      </c>
      <c r="I65" s="187">
        <f t="shared" si="11"/>
        <v>55.555555555555557</v>
      </c>
      <c r="J65" s="184">
        <f>G65/C65*100</f>
        <v>100</v>
      </c>
      <c r="K65" s="188"/>
      <c r="L65" s="162"/>
      <c r="M65" s="162"/>
    </row>
    <row r="66" spans="1:13" ht="20.100000000000001" customHeight="1" x14ac:dyDescent="0.2">
      <c r="A66" s="267" t="s">
        <v>164</v>
      </c>
      <c r="B66" s="183" t="s">
        <v>165</v>
      </c>
      <c r="C66" s="184">
        <v>80</v>
      </c>
      <c r="D66" s="184">
        <v>80</v>
      </c>
      <c r="E66" s="250">
        <v>80</v>
      </c>
      <c r="F66" s="184">
        <v>80</v>
      </c>
      <c r="G66" s="251">
        <v>80</v>
      </c>
      <c r="H66" s="186">
        <f t="shared" si="10"/>
        <v>100</v>
      </c>
      <c r="I66" s="187">
        <f t="shared" si="11"/>
        <v>100</v>
      </c>
      <c r="J66" s="184">
        <f>G66/C66*100</f>
        <v>100</v>
      </c>
      <c r="K66" s="188"/>
      <c r="L66" s="162"/>
      <c r="M66" s="162"/>
    </row>
    <row r="67" spans="1:13" ht="20.100000000000001" customHeight="1" x14ac:dyDescent="0.2">
      <c r="A67" s="190" t="s">
        <v>166</v>
      </c>
      <c r="B67" s="191" t="s">
        <v>27</v>
      </c>
      <c r="C67" s="192">
        <v>83.3</v>
      </c>
      <c r="D67" s="192">
        <v>83.3</v>
      </c>
      <c r="E67" s="253">
        <v>83.4</v>
      </c>
      <c r="F67" s="192">
        <v>83.4</v>
      </c>
      <c r="G67" s="254">
        <v>83.4</v>
      </c>
      <c r="H67" s="194">
        <f t="shared" si="10"/>
        <v>100.12004801920769</v>
      </c>
      <c r="I67" s="195">
        <f t="shared" si="11"/>
        <v>100</v>
      </c>
      <c r="J67" s="192">
        <f>G67/C67*100</f>
        <v>100.12004801920769</v>
      </c>
      <c r="K67" s="210"/>
      <c r="L67" s="162"/>
      <c r="M67" s="162"/>
    </row>
    <row r="68" spans="1:13" ht="20.100000000000001" customHeight="1" x14ac:dyDescent="0.2">
      <c r="A68" s="165" t="s">
        <v>167</v>
      </c>
      <c r="B68" s="166"/>
      <c r="C68" s="230"/>
      <c r="D68" s="230"/>
      <c r="E68" s="231"/>
      <c r="F68" s="230"/>
      <c r="G68" s="230"/>
      <c r="H68" s="232"/>
      <c r="I68" s="232"/>
      <c r="J68" s="232"/>
      <c r="K68" s="169"/>
      <c r="L68" s="162"/>
      <c r="M68" s="162"/>
    </row>
    <row r="69" spans="1:13" ht="20.100000000000001" customHeight="1" x14ac:dyDescent="0.2">
      <c r="A69" s="273" t="s">
        <v>168</v>
      </c>
      <c r="B69" s="171" t="s">
        <v>110</v>
      </c>
      <c r="C69" s="248">
        <v>59.7</v>
      </c>
      <c r="D69" s="248">
        <v>58</v>
      </c>
      <c r="E69" s="274">
        <v>60</v>
      </c>
      <c r="F69" s="248">
        <v>58</v>
      </c>
      <c r="G69" s="275">
        <v>60</v>
      </c>
      <c r="H69" s="276">
        <f>F69/D69*100</f>
        <v>100</v>
      </c>
      <c r="I69" s="277">
        <f>F69/E69*100</f>
        <v>96.666666666666671</v>
      </c>
      <c r="J69" s="248">
        <f>G69/C69*100</f>
        <v>100.50251256281406</v>
      </c>
      <c r="K69" s="169"/>
      <c r="L69" s="162"/>
      <c r="M69" s="162"/>
    </row>
    <row r="70" spans="1:13" ht="20.100000000000001" customHeight="1" x14ac:dyDescent="0.2">
      <c r="A70" s="278" t="s">
        <v>169</v>
      </c>
      <c r="B70" s="212" t="s">
        <v>110</v>
      </c>
      <c r="C70" s="207">
        <f>C69</f>
        <v>59.7</v>
      </c>
      <c r="D70" s="207">
        <f>D69</f>
        <v>58</v>
      </c>
      <c r="E70" s="279">
        <v>60</v>
      </c>
      <c r="F70" s="207">
        <f>F69</f>
        <v>58</v>
      </c>
      <c r="G70" s="280">
        <f>G69</f>
        <v>60</v>
      </c>
      <c r="H70" s="235">
        <f>F70/D70*100</f>
        <v>100</v>
      </c>
      <c r="I70" s="236">
        <f>F70/E70*100</f>
        <v>96.666666666666671</v>
      </c>
      <c r="J70" s="207">
        <f>G70/C70*100</f>
        <v>100.50251256281406</v>
      </c>
      <c r="K70" s="215"/>
      <c r="L70" s="162"/>
      <c r="M70" s="162"/>
    </row>
    <row r="71" spans="1:13" ht="20.100000000000001" customHeight="1" x14ac:dyDescent="0.2">
      <c r="A71" s="281" t="s">
        <v>170</v>
      </c>
      <c r="B71" s="282" t="s">
        <v>171</v>
      </c>
      <c r="C71" s="283">
        <v>40</v>
      </c>
      <c r="D71" s="283">
        <v>40</v>
      </c>
      <c r="E71" s="253">
        <v>40</v>
      </c>
      <c r="F71" s="283">
        <v>40</v>
      </c>
      <c r="G71" s="284">
        <v>900</v>
      </c>
      <c r="H71" s="285">
        <f>F71/D71*100</f>
        <v>100</v>
      </c>
      <c r="I71" s="286">
        <f>F71/E71*100</f>
        <v>100</v>
      </c>
      <c r="J71" s="283">
        <f>G71/C71*100</f>
        <v>2250</v>
      </c>
      <c r="K71" s="287"/>
      <c r="L71" s="162"/>
      <c r="M71" s="162"/>
    </row>
    <row r="72" spans="1:13" ht="20.100000000000001" customHeight="1" x14ac:dyDescent="0.2">
      <c r="A72" s="175" t="s">
        <v>172</v>
      </c>
      <c r="B72" s="176"/>
      <c r="C72" s="248"/>
      <c r="D72" s="177"/>
      <c r="E72" s="288"/>
      <c r="F72" s="177"/>
      <c r="G72" s="289"/>
      <c r="H72" s="289"/>
      <c r="I72" s="289"/>
      <c r="J72" s="289"/>
      <c r="K72" s="181"/>
      <c r="L72" s="162"/>
      <c r="M72" s="162"/>
    </row>
    <row r="73" spans="1:13" ht="20.100000000000001" customHeight="1" x14ac:dyDescent="0.2">
      <c r="A73" s="263" t="s">
        <v>173</v>
      </c>
      <c r="B73" s="183" t="s">
        <v>102</v>
      </c>
      <c r="C73" s="177">
        <v>56</v>
      </c>
      <c r="D73" s="184">
        <v>20</v>
      </c>
      <c r="E73" s="250">
        <v>52</v>
      </c>
      <c r="F73" s="184">
        <v>20</v>
      </c>
      <c r="G73" s="251">
        <v>50</v>
      </c>
      <c r="H73" s="206">
        <f>F73/D73*100</f>
        <v>100</v>
      </c>
      <c r="I73" s="184">
        <f>F73/E73*100</f>
        <v>38.461538461538467</v>
      </c>
      <c r="J73" s="184">
        <f>G73/C73*100</f>
        <v>89.285714285714292</v>
      </c>
      <c r="K73" s="188"/>
      <c r="L73" s="162"/>
      <c r="M73" s="162"/>
    </row>
    <row r="74" spans="1:13" ht="20.100000000000001" customHeight="1" x14ac:dyDescent="0.2">
      <c r="A74" s="190" t="s">
        <v>174</v>
      </c>
      <c r="B74" s="191"/>
      <c r="C74" s="184"/>
      <c r="D74" s="192"/>
      <c r="E74" s="290"/>
      <c r="F74" s="192"/>
      <c r="G74" s="291"/>
      <c r="H74" s="291"/>
      <c r="I74" s="291"/>
      <c r="J74" s="291"/>
      <c r="K74" s="210"/>
      <c r="L74" s="162"/>
      <c r="M74" s="162"/>
    </row>
    <row r="75" spans="1:13" ht="20.100000000000001" customHeight="1" x14ac:dyDescent="0.2">
      <c r="A75" s="292" t="s">
        <v>175</v>
      </c>
      <c r="B75" s="198" t="s">
        <v>102</v>
      </c>
      <c r="C75" s="184">
        <v>198</v>
      </c>
      <c r="D75" s="199">
        <v>40</v>
      </c>
      <c r="E75" s="257">
        <v>198</v>
      </c>
      <c r="F75" s="199">
        <v>40</v>
      </c>
      <c r="G75" s="258">
        <v>200</v>
      </c>
      <c r="H75" s="259">
        <f>F75/D75*100</f>
        <v>100</v>
      </c>
      <c r="I75" s="199">
        <f>F75/E75*100</f>
        <v>20.202020202020201</v>
      </c>
      <c r="J75" s="199">
        <f>G75/C75*100</f>
        <v>101.01010101010101</v>
      </c>
      <c r="K75" s="260"/>
      <c r="L75" s="162"/>
      <c r="M75" s="162"/>
    </row>
    <row r="76" spans="1:13" ht="20.100000000000001" customHeight="1" x14ac:dyDescent="0.2">
      <c r="A76" s="293" t="s">
        <v>176</v>
      </c>
      <c r="B76" s="198" t="s">
        <v>165</v>
      </c>
      <c r="C76" s="192">
        <v>215.6</v>
      </c>
      <c r="D76" s="199">
        <v>85</v>
      </c>
      <c r="E76" s="294">
        <v>214.5</v>
      </c>
      <c r="F76" s="199">
        <v>85</v>
      </c>
      <c r="G76" s="258">
        <v>85</v>
      </c>
      <c r="H76" s="259">
        <f>F76/D76*100</f>
        <v>100</v>
      </c>
      <c r="I76" s="199">
        <f>F76/E76*100</f>
        <v>39.627039627039629</v>
      </c>
      <c r="J76" s="199">
        <f>G76/C76*100</f>
        <v>39.424860853432278</v>
      </c>
      <c r="K76" s="260"/>
      <c r="L76" s="162"/>
      <c r="M76" s="162"/>
    </row>
    <row r="77" spans="1:13" ht="20.100000000000001" customHeight="1" x14ac:dyDescent="0.2">
      <c r="A77" s="165" t="s">
        <v>177</v>
      </c>
      <c r="B77" s="167"/>
      <c r="C77" s="295"/>
      <c r="D77" s="295"/>
      <c r="E77" s="295"/>
      <c r="F77" s="295"/>
      <c r="G77" s="295"/>
      <c r="H77" s="296"/>
      <c r="I77" s="296"/>
      <c r="J77" s="296"/>
      <c r="K77" s="297"/>
      <c r="L77" s="162"/>
      <c r="M77" s="162"/>
    </row>
    <row r="78" spans="1:13" ht="20.100000000000001" customHeight="1" x14ac:dyDescent="0.2">
      <c r="A78" s="298" t="s">
        <v>178</v>
      </c>
      <c r="B78" s="176" t="s">
        <v>27</v>
      </c>
      <c r="C78" s="177">
        <v>47.4</v>
      </c>
      <c r="D78" s="177">
        <v>50</v>
      </c>
      <c r="E78" s="177">
        <v>74.099999999999994</v>
      </c>
      <c r="F78" s="177">
        <v>47.9</v>
      </c>
      <c r="G78" s="177">
        <v>74.099999999999994</v>
      </c>
      <c r="H78" s="177"/>
      <c r="I78" s="177"/>
      <c r="J78" s="177"/>
      <c r="K78" s="299"/>
      <c r="L78" s="162"/>
      <c r="M78" s="162"/>
    </row>
    <row r="79" spans="1:13" ht="20.100000000000001" customHeight="1" x14ac:dyDescent="0.2">
      <c r="A79" s="245" t="s">
        <v>179</v>
      </c>
      <c r="B79" s="183" t="s">
        <v>27</v>
      </c>
      <c r="C79" s="184">
        <v>100</v>
      </c>
      <c r="D79" s="184">
        <v>100</v>
      </c>
      <c r="E79" s="185">
        <v>100</v>
      </c>
      <c r="F79" s="184">
        <v>100</v>
      </c>
      <c r="G79" s="184">
        <v>100</v>
      </c>
      <c r="H79" s="184"/>
      <c r="I79" s="184"/>
      <c r="J79" s="184"/>
      <c r="K79" s="300"/>
      <c r="L79" s="162"/>
      <c r="M79" s="162"/>
    </row>
    <row r="80" spans="1:13" ht="20.100000000000001" customHeight="1" x14ac:dyDescent="0.2">
      <c r="A80" s="301" t="s">
        <v>180</v>
      </c>
      <c r="B80" s="183" t="s">
        <v>27</v>
      </c>
      <c r="C80" s="184">
        <v>74.3</v>
      </c>
      <c r="D80" s="184">
        <v>62</v>
      </c>
      <c r="E80" s="185">
        <v>76.8</v>
      </c>
      <c r="F80" s="184">
        <v>75.099999999999994</v>
      </c>
      <c r="G80" s="184">
        <v>65</v>
      </c>
      <c r="H80" s="184"/>
      <c r="I80" s="184"/>
      <c r="J80" s="184"/>
      <c r="K80" s="300"/>
      <c r="L80" s="162"/>
      <c r="M80" s="162"/>
    </row>
    <row r="81" spans="1:13" ht="20.100000000000001" customHeight="1" x14ac:dyDescent="0.2">
      <c r="A81" s="301" t="s">
        <v>181</v>
      </c>
      <c r="B81" s="183" t="s">
        <v>27</v>
      </c>
      <c r="C81" s="184">
        <v>90.4</v>
      </c>
      <c r="D81" s="184">
        <v>72</v>
      </c>
      <c r="E81" s="185">
        <v>92.8</v>
      </c>
      <c r="F81" s="184">
        <v>91.7</v>
      </c>
      <c r="G81" s="184">
        <v>75</v>
      </c>
      <c r="H81" s="184"/>
      <c r="I81" s="184"/>
      <c r="J81" s="184"/>
      <c r="K81" s="300"/>
      <c r="L81" s="162"/>
      <c r="M81" s="162"/>
    </row>
    <row r="82" spans="1:13" ht="20.100000000000001" customHeight="1" x14ac:dyDescent="0.2">
      <c r="A82" s="301" t="s">
        <v>182</v>
      </c>
      <c r="B82" s="183" t="s">
        <v>27</v>
      </c>
      <c r="C82" s="184">
        <v>74.900000000000006</v>
      </c>
      <c r="D82" s="184">
        <v>65</v>
      </c>
      <c r="E82" s="185">
        <v>83.8</v>
      </c>
      <c r="F82" s="184">
        <v>77.8</v>
      </c>
      <c r="G82" s="184">
        <v>70</v>
      </c>
      <c r="H82" s="184"/>
      <c r="I82" s="184"/>
      <c r="J82" s="184"/>
      <c r="K82" s="300"/>
      <c r="L82" s="162"/>
      <c r="M82" s="162"/>
    </row>
    <row r="83" spans="1:13" ht="20.100000000000001" customHeight="1" x14ac:dyDescent="0.2">
      <c r="A83" s="301" t="s">
        <v>183</v>
      </c>
      <c r="B83" s="183" t="s">
        <v>27</v>
      </c>
      <c r="C83" s="184">
        <v>100</v>
      </c>
      <c r="D83" s="184">
        <v>84</v>
      </c>
      <c r="E83" s="347">
        <v>76</v>
      </c>
      <c r="F83" s="349">
        <v>43.8</v>
      </c>
      <c r="G83" s="184">
        <v>85</v>
      </c>
      <c r="H83" s="184"/>
      <c r="I83" s="184"/>
      <c r="J83" s="184"/>
      <c r="K83" s="300"/>
      <c r="L83" s="162"/>
      <c r="M83" s="162"/>
    </row>
    <row r="84" spans="1:13" ht="20.100000000000001" customHeight="1" x14ac:dyDescent="0.2">
      <c r="A84" s="301" t="s">
        <v>184</v>
      </c>
      <c r="B84" s="183" t="s">
        <v>27</v>
      </c>
      <c r="C84" s="184">
        <v>0</v>
      </c>
      <c r="D84" s="184">
        <v>56</v>
      </c>
      <c r="E84" s="348"/>
      <c r="F84" s="350"/>
      <c r="G84" s="184">
        <v>60</v>
      </c>
      <c r="H84" s="184"/>
      <c r="I84" s="184"/>
      <c r="J84" s="184"/>
      <c r="K84" s="302"/>
      <c r="L84" s="162"/>
      <c r="M84" s="162"/>
    </row>
    <row r="85" spans="1:13" ht="20.100000000000001" customHeight="1" x14ac:dyDescent="0.2">
      <c r="A85" s="301" t="s">
        <v>185</v>
      </c>
      <c r="B85" s="183" t="s">
        <v>27</v>
      </c>
      <c r="C85" s="184">
        <v>100</v>
      </c>
      <c r="D85" s="184">
        <v>100</v>
      </c>
      <c r="E85" s="185">
        <v>100</v>
      </c>
      <c r="F85" s="184">
        <v>100</v>
      </c>
      <c r="G85" s="184">
        <v>100</v>
      </c>
      <c r="H85" s="184"/>
      <c r="I85" s="184"/>
      <c r="J85" s="184"/>
      <c r="K85" s="300"/>
      <c r="L85" s="162"/>
      <c r="M85" s="162"/>
    </row>
    <row r="86" spans="1:13" ht="20.100000000000001" customHeight="1" x14ac:dyDescent="0.2">
      <c r="A86" s="301" t="s">
        <v>186</v>
      </c>
      <c r="B86" s="183" t="s">
        <v>27</v>
      </c>
      <c r="C86" s="184">
        <v>0</v>
      </c>
      <c r="D86" s="184">
        <v>0</v>
      </c>
      <c r="E86" s="185">
        <v>60</v>
      </c>
      <c r="F86" s="184">
        <v>0</v>
      </c>
      <c r="G86" s="184">
        <v>16</v>
      </c>
      <c r="H86" s="184"/>
      <c r="I86" s="184"/>
      <c r="J86" s="184"/>
      <c r="K86" s="302"/>
      <c r="L86" s="162"/>
      <c r="M86" s="162"/>
    </row>
    <row r="87" spans="1:13" ht="20.100000000000001" customHeight="1" x14ac:dyDescent="0.2">
      <c r="A87" s="301" t="s">
        <v>187</v>
      </c>
      <c r="B87" s="183" t="s">
        <v>27</v>
      </c>
      <c r="C87" s="184">
        <v>0</v>
      </c>
      <c r="D87" s="184">
        <v>0</v>
      </c>
      <c r="E87" s="185">
        <v>46.8</v>
      </c>
      <c r="F87" s="184">
        <v>0</v>
      </c>
      <c r="G87" s="184">
        <v>0</v>
      </c>
      <c r="H87" s="184"/>
      <c r="I87" s="184"/>
      <c r="J87" s="184"/>
      <c r="K87" s="302"/>
      <c r="L87" s="162"/>
      <c r="M87" s="162"/>
    </row>
    <row r="88" spans="1:13" ht="20.100000000000001" customHeight="1" x14ac:dyDescent="0.25">
      <c r="A88" s="301" t="s">
        <v>188</v>
      </c>
      <c r="B88" s="183" t="s">
        <v>27</v>
      </c>
      <c r="C88" s="184">
        <v>0</v>
      </c>
      <c r="D88" s="184">
        <v>0</v>
      </c>
      <c r="E88" s="185">
        <v>49.7</v>
      </c>
      <c r="F88" s="184">
        <v>0</v>
      </c>
      <c r="G88" s="184">
        <v>0</v>
      </c>
      <c r="H88" s="303"/>
      <c r="I88" s="303"/>
      <c r="J88" s="303"/>
      <c r="K88" s="304"/>
      <c r="L88" s="162"/>
      <c r="M88" s="162"/>
    </row>
    <row r="89" spans="1:13" ht="20.100000000000001" customHeight="1" x14ac:dyDescent="0.25">
      <c r="A89" s="301" t="s">
        <v>189</v>
      </c>
      <c r="B89" s="183" t="s">
        <v>27</v>
      </c>
      <c r="C89" s="184">
        <v>0</v>
      </c>
      <c r="D89" s="184">
        <v>0</v>
      </c>
      <c r="E89" s="305">
        <v>60.2</v>
      </c>
      <c r="F89" s="184">
        <v>0</v>
      </c>
      <c r="G89" s="184">
        <v>0</v>
      </c>
      <c r="H89" s="306"/>
      <c r="I89" s="306"/>
      <c r="J89" s="306"/>
      <c r="K89" s="304"/>
      <c r="L89" s="307"/>
      <c r="M89" s="162"/>
    </row>
    <row r="90" spans="1:13" ht="20.100000000000001" customHeight="1" thickBot="1" x14ac:dyDescent="0.25">
      <c r="A90" s="308" t="s">
        <v>190</v>
      </c>
      <c r="B90" s="309" t="s">
        <v>27</v>
      </c>
      <c r="C90" s="310">
        <v>100</v>
      </c>
      <c r="D90" s="310">
        <v>100</v>
      </c>
      <c r="E90" s="310">
        <v>100</v>
      </c>
      <c r="F90" s="310">
        <v>100</v>
      </c>
      <c r="G90" s="310">
        <v>100</v>
      </c>
      <c r="H90" s="311"/>
      <c r="I90" s="311"/>
      <c r="J90" s="311"/>
      <c r="K90" s="312"/>
      <c r="L90" s="162"/>
      <c r="M90" s="162"/>
    </row>
    <row r="91" spans="1:13" ht="15" thickTop="1" x14ac:dyDescent="0.2"/>
    <row r="92" spans="1:13" ht="18" customHeight="1" x14ac:dyDescent="0.25">
      <c r="G92" s="351"/>
      <c r="H92" s="351"/>
      <c r="I92" s="351"/>
      <c r="J92" s="351"/>
      <c r="K92" s="351"/>
    </row>
    <row r="93" spans="1:13" ht="18" customHeight="1" x14ac:dyDescent="0.25">
      <c r="G93" s="352"/>
      <c r="H93" s="352"/>
      <c r="I93" s="352"/>
      <c r="J93" s="352"/>
      <c r="K93" s="352"/>
    </row>
    <row r="94" spans="1:13" ht="18" customHeight="1" x14ac:dyDescent="0.25">
      <c r="G94" s="352"/>
      <c r="H94" s="352"/>
      <c r="I94" s="352"/>
      <c r="J94" s="352"/>
      <c r="K94" s="352"/>
    </row>
    <row r="98" spans="7:11" ht="15.75" x14ac:dyDescent="0.25">
      <c r="G98" s="344"/>
      <c r="H98" s="344"/>
      <c r="I98" s="344"/>
      <c r="J98" s="344"/>
      <c r="K98" s="344"/>
    </row>
  </sheetData>
  <mergeCells count="17">
    <mergeCell ref="G98:K98"/>
    <mergeCell ref="K4:K5"/>
    <mergeCell ref="E83:E84"/>
    <mergeCell ref="F83:F84"/>
    <mergeCell ref="G92:K92"/>
    <mergeCell ref="G93:K93"/>
    <mergeCell ref="G94:K94"/>
    <mergeCell ref="A1:K1"/>
    <mergeCell ref="A2:K2"/>
    <mergeCell ref="A3:K3"/>
    <mergeCell ref="A4:A5"/>
    <mergeCell ref="B4:B5"/>
    <mergeCell ref="C4:C5"/>
    <mergeCell ref="D4:D5"/>
    <mergeCell ref="E4:F4"/>
    <mergeCell ref="G4:G5"/>
    <mergeCell ref="H4:J4"/>
  </mergeCells>
  <pageMargins left="0.45" right="0.2" top="0.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Biểu 01</vt:lpstr>
      <vt:lpstr>Biểu 2</vt:lpstr>
      <vt:lpstr>'Biểu 01'!Print_Area</vt:lpstr>
      <vt:lpstr>'Biểu 01'!Print_Titles</vt:lpstr>
      <vt:lpstr>'Biểu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2020-06-29T08:52:34Z</dcterms:modified>
</cp:coreProperties>
</file>