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9615" firstSheet="1" activeTab="7"/>
  </bookViews>
  <sheets>
    <sheet name="PL3" sheetId="1" state="hidden" r:id="rId1"/>
    <sheet name="PL3_B1_CP Chuyen gia" sheetId="2" r:id="rId2"/>
    <sheet name="PL3_B2_CP Hoi thao" sheetId="3" r:id="rId3"/>
    <sheet name="PL3_B1_CP Tham dinh" sheetId="4" r:id="rId4"/>
    <sheet name="CG" sheetId="5" r:id="rId5"/>
    <sheet name="PL" sheetId="6" state="hidden" r:id="rId6"/>
    <sheet name="PL4-KHDT" sheetId="7" state="hidden" r:id="rId7"/>
    <sheet name="PL 4" sheetId="8" r:id="rId8"/>
  </sheets>
  <externalReferences>
    <externalReference r:id="rId11"/>
  </externalReferences>
  <definedNames>
    <definedName name="_xlnm.Print_Area" localSheetId="0">'PL3'!$A$1:$D$10</definedName>
    <definedName name="_xlnm.Print_Area" localSheetId="1">'PL3_B1_CP Chuyen gia'!$A$1:$G$39</definedName>
    <definedName name="_xlnm.Print_Titles" localSheetId="1">'PL3_B1_CP Chuyen gia'!$5:$5</definedName>
    <definedName name="_xlnm.Print_Titles" localSheetId="3">'PL3_B1_CP Tham dinh'!$6:$6</definedName>
    <definedName name="_xlnm.Print_Titles" localSheetId="2">'PL3_B2_CP Hoi thao'!$6:$6</definedName>
  </definedNames>
  <calcPr fullCalcOnLoad="1"/>
</workbook>
</file>

<file path=xl/sharedStrings.xml><?xml version="1.0" encoding="utf-8"?>
<sst xmlns="http://schemas.openxmlformats.org/spreadsheetml/2006/main" count="618" uniqueCount="276">
  <si>
    <t>STT</t>
  </si>
  <si>
    <t>NỘI DUNG</t>
  </si>
  <si>
    <t>I</t>
  </si>
  <si>
    <t>Thành tiền</t>
  </si>
  <si>
    <t>II</t>
  </si>
  <si>
    <t>III</t>
  </si>
  <si>
    <t>Báo cáo tổng hợp</t>
  </si>
  <si>
    <t>Ghi chú</t>
  </si>
  <si>
    <t>Tổng hợp hoàn thiện đề án sau Hội thảo</t>
  </si>
  <si>
    <t>A</t>
  </si>
  <si>
    <t>B</t>
  </si>
  <si>
    <t>C</t>
  </si>
  <si>
    <t>TỔNG CỘNG</t>
  </si>
  <si>
    <t>Đơn giá</t>
  </si>
  <si>
    <t>CG1</t>
  </si>
  <si>
    <t>CG2</t>
  </si>
  <si>
    <t>CG3</t>
  </si>
  <si>
    <t>CG4</t>
  </si>
  <si>
    <t>Quan điểm, mục tiêu và định hướng phát triển</t>
  </si>
  <si>
    <t>Đề xuất các cơ chế, chính sách đặc thù đối với Thừa Thiên Huế</t>
  </si>
  <si>
    <t>IV</t>
  </si>
  <si>
    <t>Đơn giá ngày công</t>
  </si>
  <si>
    <t>Hiệu đính, hoàn thiện đề án</t>
  </si>
  <si>
    <t>Thuế VAT 10%</t>
  </si>
  <si>
    <t>Các nội dung đề án</t>
  </si>
  <si>
    <t>Mức chuyên gia</t>
  </si>
  <si>
    <t>- Căn cứ Thông tư 02/2015/TT-BLĐTBXH ngày 12 tháng 01 năm 2015 quy định mức lương đối với chuyên gia tư vấn trong nước làm cơ sở dự toán gói thầu cung cấp dịch vụ tư vấn</t>
  </si>
  <si>
    <t>STTA3:E7</t>
  </si>
  <si>
    <t>Nội dung</t>
  </si>
  <si>
    <t>Mức lương/ tháng cao nhất
(VNĐ)</t>
  </si>
  <si>
    <t>Mức lương/ ngày
(VNĐ)</t>
  </si>
  <si>
    <t>Mức 1: không quá 40.000.000 VNĐ/ tháng. Chuyên gia tư vấn có bằng đại học đúng chuyên ngành và có từ 15 năm kinh nghiệm hoặc thạc sỹ và 08 năm kinh nghiệm hoặc chuyên gia đảm nhiệm trưởng nhóm tư vấn</t>
  </si>
  <si>
    <t>Mức 2: không quá 30.000.000 VNĐ/ tháng. Chuyên gia tư vấn có bằng đại học đúng chuyên ngành và có từ 10-15 năm kinh nghiệm hoặc thạc sỹ và 05-08 năm kinh nghiệm hoặc chuyên gia đảm nhiệm chủ trì hạng mục</t>
  </si>
  <si>
    <t>Mức 3: không quá 20.000.000 VNĐ/ tháng. Chuyên gia tư vấn có bằng đại học đúng chuyên ngành và có 5-10 năm kinh nghiệm hoặc thạc sỹ và 3-5 năm kinh nghiệm</t>
  </si>
  <si>
    <t>Mức 4: không quá 15.000.000 VNĐ/ tháng. Chuyên gia tư vấn có bằng đại học đúng chuyên ngành và có dưới 5 năm kinh nghiệm hoặc thạc sỹ và dưới 3 năm kinh nghiệm</t>
  </si>
  <si>
    <t>Ghi chú:
Trường hợp cần thiết, đối với dự án và công trình có quy mô lớn, kỹ thuật phức tạp, sử dụng công nghệ hiện đại đòi hỏi chuyên gia tư vấn có trình độ chuyên môn đặc biệt, khả năng cung ứng của thị trường lao động còn hạn chế hoặc điều kiện làm việc khó khăn, ở vùng sâu, vùng xa, chủ đầu tư hoặc bên mời thầu lựa chọn, báo cáo người có thẩm quyền xem xét, quyết định mức lương chuyên gia tư vấn cao hơn nhưng không quá 1.5 lần so với mức lương quy định tại điều này</t>
  </si>
  <si>
    <t>Mức lương áp dụng tại các đề án tương tự trên địa bàn tỉnh</t>
  </si>
  <si>
    <t>Theo mức cao nhất tại QĐ 18/2016/QĐ-UBND</t>
  </si>
  <si>
    <t xml:space="preserve">Số ngày công </t>
  </si>
  <si>
    <t>Chi phí thuê tư vấn thực hiện đề án</t>
  </si>
  <si>
    <t>V</t>
  </si>
  <si>
    <t>DỰ TOÁN CHI PHÍ THUÊ TƯ VẤN THỰC HIỆN ĐỀ ÁN</t>
  </si>
  <si>
    <t>TT</t>
  </si>
  <si>
    <t>Đvt:  đồng</t>
  </si>
  <si>
    <t>Đvt: đồng</t>
  </si>
  <si>
    <t>Chi phí văn phòng phẩm, in ấn, phô tô tài liệu…</t>
  </si>
  <si>
    <t>Báo cáo tổng hợp và hoàn thiện đề án</t>
  </si>
  <si>
    <t>(Kèm theo Quyết định số:         /QĐ-UBND ngày     tháng     năm 2020 của Ủy ban nhân dân tỉnh Thừa Thiên Huế)</t>
  </si>
  <si>
    <t>PHỤ LỤC 2</t>
  </si>
  <si>
    <t>Nội dung công việc</t>
  </si>
  <si>
    <t>Thời hạn hoàn thành</t>
  </si>
  <si>
    <t>Lập Đề cương và lấy ý kiến các sở, ban ngành</t>
  </si>
  <si>
    <t>Sở KHĐT</t>
  </si>
  <si>
    <t>Đã hoàn thành</t>
  </si>
  <si>
    <t>Thẩm định dự toán trình UBND tỉnh phê duyệt</t>
  </si>
  <si>
    <t>Sở Tài chính</t>
  </si>
  <si>
    <t>Phê duyệt đề cương và dự toán kinh phí thực hiện đề án</t>
  </si>
  <si>
    <t>UBND tỉnh</t>
  </si>
  <si>
    <t>12/02-17/02</t>
  </si>
  <si>
    <t>Phê duyệt kế hoạch lựa chọn nhà thầu</t>
  </si>
  <si>
    <t>17/02</t>
  </si>
  <si>
    <t>Lựa chọn, thương thảo và ký hợp đồng với đơn vị tư vấn</t>
  </si>
  <si>
    <t>17/02-05/3</t>
  </si>
  <si>
    <t>Xây dựng đề án</t>
  </si>
  <si>
    <t>Đơn vị tư vấn</t>
  </si>
  <si>
    <t>05/3-15/3</t>
  </si>
  <si>
    <t>Lấy ý kiến, tổ chức hội thảo lấy ý kiến</t>
  </si>
  <si>
    <t>16/3-26/3</t>
  </si>
  <si>
    <t>Tổ chức Hội đồng thẩm định Đề án</t>
  </si>
  <si>
    <t>26/3 -30/3</t>
  </si>
  <si>
    <t>Trình phê duyệt Đề án</t>
  </si>
  <si>
    <t>31/3– 10/4</t>
  </si>
  <si>
    <t>UBND tỉnh gửi Bộ KHĐT trình Chính phủ thông qua, trình UBTVQH phê duyệt</t>
  </si>
  <si>
    <t>Sở KHĐT dự thảo văn bản</t>
  </si>
  <si>
    <t>Đơn vị thực hiện</t>
  </si>
  <si>
    <t>TIẾN ĐỘ THỰC HIỆN ĐỀ ÁN CƠ CHẾ, CHÍNH SÁCH ĐẶC THÙ XÂY DỰNG 
THỪA THIÊN HUẾ TRỞ THÀNH THÀNH PHỐ TRỰC THUỘC TRUNG ƯƠNG</t>
  </si>
  <si>
    <t>Đơn vị tính: Đồng.</t>
  </si>
  <si>
    <t>Giá gói thầu (đồng)</t>
  </si>
  <si>
    <t>Nguồn vốn</t>
  </si>
  <si>
    <t>Thời gian bắt đầu tổ chức lựa chọn nhà thầu</t>
  </si>
  <si>
    <t>Loại hợp đồng</t>
  </si>
  <si>
    <t>Thời gian thực hiện hợp đồng</t>
  </si>
  <si>
    <t>Tổng số (làm tròn):</t>
  </si>
  <si>
    <t>Ngân sách tỉnh</t>
  </si>
  <si>
    <t>Phần công việc đã thực hiện</t>
  </si>
  <si>
    <t>Chủ đầu tư và các cơ quan liên quan thực hiện</t>
  </si>
  <si>
    <t>Phần công việc thuộc kế hoạch lựa chọn nhà thầu</t>
  </si>
  <si>
    <t>Trọn gói</t>
  </si>
  <si>
    <t>Phần công việc chưa đủ điều kiện lập kế hoạch lựa chọn nhà thầu</t>
  </si>
  <si>
    <t>Tối đa 60 ngày</t>
  </si>
  <si>
    <t>PHỤ LỤC 4</t>
  </si>
  <si>
    <t>KẾ HOẠCH LỰA CHỌN NHÀ THẦU XÂY DỰNG ĐỀ ÁN CƠ CHẾ, CHÍNH SÁCH ĐẶC THÙ 
XÂY DỰNG THỪA THIÊN HUẾ TRỞ THÀNH THÀNH PHỐ TRỰC THUỘC TRUNG ƯƠNG</t>
  </si>
  <si>
    <t>Hình thức lựa chọn nhà thầu</t>
  </si>
  <si>
    <t>Phương thức lựa chọn nhà thầu</t>
  </si>
  <si>
    <t>Một giai đoạn một túi hồ sơ</t>
  </si>
  <si>
    <t>Chỉ định thầu</t>
  </si>
  <si>
    <t>Tháng 02/2020</t>
  </si>
  <si>
    <t>Phần công việc không áp dụng một trong các hình thức lựa chọn nhà thầu</t>
  </si>
  <si>
    <t>Tên gói thầu hoặc công việc</t>
  </si>
  <si>
    <t>(Kèm theo Quyết định số:         /QĐ-UBND ngày     tháng 02 năm 2020 của UBND tỉnh Thừa Thiên Huế)</t>
  </si>
  <si>
    <t>Gói thầu số 01: Tư vấn lập đề án Cơ chế, chính sách đặc thù xây dựng Thừa Thiên Huế trở thành thành phố trực thuộc trung ương</t>
  </si>
  <si>
    <t>Tổng quan về đặc điểm tự nhiên, quá trình lịch sử</t>
  </si>
  <si>
    <t>Thực trạng công tác phấn đấu xây dựng và phát triển Thừa Thiên Huế trở thành thành phố trực thuộc Trung ương</t>
  </si>
  <si>
    <t>Tình hình triển khai thực hiện các cơ chế, chính sách</t>
  </si>
  <si>
    <t>Đánh giá đô thị theo phân loại đô thị có tính chất đặc thù về di sản</t>
  </si>
  <si>
    <t>Đánh giá mô hình phát triển đô thị theo phân loại đơn vị hành chính</t>
  </si>
  <si>
    <t>Phân tích lợi thế, khó khăn, cơ hội và thách thức đối với xây dựng Thừa Thiên Huế trở thành phố trực thuộc trung ương (SWOT)</t>
  </si>
  <si>
    <t>Giải pháp xây dựng Thừa Thiên Huế trở thành thành phố trực thuộc trung ương</t>
  </si>
  <si>
    <t>a</t>
  </si>
  <si>
    <t>Hoàn thiện thể chế xây dựng Thừa Thiên Huế trở thành thành phố trực thuộc trung ương</t>
  </si>
  <si>
    <t>b</t>
  </si>
  <si>
    <t>Thí điểm các cơ chế chính sách đặc thù xây dựng Thừa Thiên Huế trở thành thành phố trực thuộc trung ương</t>
  </si>
  <si>
    <t>Đề xuất kiến nghị đối với Trung ương</t>
  </si>
  <si>
    <t>Kiến nghị Quốc hội, Ủy ban Thường vụ Quốc hội</t>
  </si>
  <si>
    <t>Kiến nghị Chính phủ</t>
  </si>
  <si>
    <t>Kiến nghị Thủ tướng Chính phủ và các Bộ, ngành</t>
  </si>
  <si>
    <t>c</t>
  </si>
  <si>
    <t>Đối với địa phương và cộng đồng người dân</t>
  </si>
  <si>
    <t>ĐVT</t>
  </si>
  <si>
    <t>Khối lượng</t>
  </si>
  <si>
    <t>Tiền vé máy bay khứ hồi cho các đại biểu</t>
  </si>
  <si>
    <t>Người</t>
  </si>
  <si>
    <t>Đại biểu tham gia Hội thảo (chi phí ăn trưa ngày diễn ra Hội nghị)</t>
  </si>
  <si>
    <t xml:space="preserve">300 người </t>
  </si>
  <si>
    <t>Tiệc tea break tại Hội thảo</t>
  </si>
  <si>
    <t>người</t>
  </si>
  <si>
    <t>Chi phí Hội trường (hoa, màn hình led…)</t>
  </si>
  <si>
    <t>Gói</t>
  </si>
  <si>
    <t>Chi phí tổ chức sự kiện (MC, market, âm thanh, ánh sáng, trang trí,…)</t>
  </si>
  <si>
    <t>Xây dựng đoạn phim giới thiệu lịch sử, vùng đất, con người, văn hóa và chặn đường phấn đấu xây dựng TP Trực thuộc TW</t>
  </si>
  <si>
    <t>15 phút</t>
  </si>
  <si>
    <t>Chi phí biên tập và in tài liệu</t>
  </si>
  <si>
    <t>Bộ</t>
  </si>
  <si>
    <t>Chi phí bồi dưỡng cho phóng viên, báo chí đưa tin Hội thảo</t>
  </si>
  <si>
    <t>Văn phòng phẩm</t>
  </si>
  <si>
    <t>Chi phí khác</t>
  </si>
  <si>
    <t xml:space="preserve">Chi phí dự phòng </t>
  </si>
  <si>
    <t>40 phòng x 02 đêm</t>
  </si>
  <si>
    <t>Hội trường, trang trí</t>
  </si>
  <si>
    <t>Tài liệu hội thảo</t>
  </si>
  <si>
    <t>Chi phí Văn phòng phẩm</t>
  </si>
  <si>
    <t>Chi phí đại biểu tham dự (ăn trưa)</t>
  </si>
  <si>
    <t>bài</t>
  </si>
  <si>
    <t>Chi phí quà tặng</t>
  </si>
  <si>
    <t>Chi phí tổ chức hội thảo lấy ý kiến các Bộ Ngành Trung ương, chuyên gia, nhà khoa học và các cơ quan, địa phương trên địa bàn</t>
  </si>
  <si>
    <t>5 phòng x 02 đêm</t>
  </si>
  <si>
    <t>Chi phí lobby</t>
  </si>
  <si>
    <t>Chi phí phát sinh ngoài dự toán</t>
  </si>
  <si>
    <t>Tiền nước phục vụ tiệc trưa Hội nghị tại Hà Nội (bia rượu)</t>
  </si>
  <si>
    <t>Đánh giá quá trình xây dựng và phát triển Thừa Thiên Huế</t>
  </si>
  <si>
    <t>Định hướng xây dựng tỉnh Thừa Thiên Huế trở thành thành phố trực thuộc trung ương và đánh giá đô thị theo phân loại đô thị và đơn vị hành chính có tính chất đặc thù</t>
  </si>
  <si>
    <t>Đề xuất giải pháp và cơ chế chính sách đặc thù xây dựng Thừa Thiên Huế trở thành thành phố trực thuộc Trung ương</t>
  </si>
  <si>
    <t>Kiến nghị và kết luận</t>
  </si>
  <si>
    <t xml:space="preserve">TỔNG CỘNG </t>
  </si>
  <si>
    <t>Tháng 04/2020</t>
  </si>
  <si>
    <t>Tối đa 90 ngày</t>
  </si>
  <si>
    <t>Ghi chí</t>
  </si>
  <si>
    <t>Nêu căn cứ xác định định mức</t>
  </si>
  <si>
    <t>(thười gian tổ chức 01 buổi hay cả ngày, dự kiến thành phần khách mời)</t>
  </si>
  <si>
    <t>(chi tiết bao nhiêu xe, cử ly di chuyển, đưa đón đối tượng nào vì chỉ có 05 chuyên gia nếu trong địa bàn thành phố cho 05 chuyên gia này thì chỉ mất 01 xe)</t>
  </si>
  <si>
    <t>Theo Điều 5, Quyết định số 18/2016/QĐ-UBND ngày 15/03/2016 của UBND tỉnh về quy định mức xây dựng dự toán kinh phí đối với nhiệm vụ khoa học và công nghệ sử dụng NSNN</t>
  </si>
  <si>
    <t>Chủ trì hội thảo</t>
  </si>
  <si>
    <t>Thư ký hội thảo</t>
  </si>
  <si>
    <t>Báo cáo trình bày tại Hội thảo</t>
  </si>
  <si>
    <t>Báo cáo (không trình bày tại Hội thảo)</t>
  </si>
  <si>
    <t>suất</t>
  </si>
  <si>
    <t>Teabreak (2 buổi)</t>
  </si>
  <si>
    <t>Chi phí vé máy bay chuyên gia (khứ hồi)</t>
  </si>
  <si>
    <t>Chi phí báo chí, phóng viên</t>
  </si>
  <si>
    <t>Chi họp hội đồng</t>
  </si>
  <si>
    <t>Nhiệm vụ</t>
  </si>
  <si>
    <t>Chi nhận xét đánh giá</t>
  </si>
  <si>
    <t>Chủ tịch hội đồng</t>
  </si>
  <si>
    <t>Phó chủ tịch hội đồng; thành viên hội đồng</t>
  </si>
  <si>
    <t>Thư ký hành chính</t>
  </si>
  <si>
    <t>phiếu</t>
  </si>
  <si>
    <t>Chi phí họp đánh giá sơ bộ (lần 1)</t>
  </si>
  <si>
    <t>Đại biểu được mời tham dự</t>
  </si>
  <si>
    <t>Nhận xét đánh giá của ủy viên hội đồng</t>
  </si>
  <si>
    <t>Nhận xét đánh giá của ủy viên phản biện trong hội đồng</t>
  </si>
  <si>
    <t xml:space="preserve">Vé máy bay khứ hồi cho đoàn đại biểu tỉnh và chuyên gia </t>
  </si>
  <si>
    <t>(Kèm theo Quyết định số:         /QĐ-UBND ngày     tháng    năm 2020 của UBND tỉnh Thừa Thiên Huế)</t>
  </si>
  <si>
    <t>Chi phí họp đánh giá nghiệm thu</t>
  </si>
  <si>
    <t>Chi phí họp tự đánh giá thông qua (lần 2)</t>
  </si>
  <si>
    <t>10 phòng x 02 đêm</t>
  </si>
  <si>
    <t>Chi phí Hội thảo, Hội nghị</t>
  </si>
  <si>
    <t>Chi phí tổ chức Hội thảo tại Huế (lần 1)</t>
  </si>
  <si>
    <t>Báo cáo đề dẫn</t>
  </si>
  <si>
    <t>Báo cáo</t>
  </si>
  <si>
    <t>Báo cáo theo chuyên đề</t>
  </si>
  <si>
    <t>Tham luận</t>
  </si>
  <si>
    <t>Teabreak</t>
  </si>
  <si>
    <t>Chi phí vé máy bay chuyên gia</t>
  </si>
  <si>
    <t>Chi phí phòng nghỉ chuyên gia</t>
  </si>
  <si>
    <t>Chi phí báo chí</t>
  </si>
  <si>
    <t>Chi phí thuê xe trung chuyển, đưa đón khách mời</t>
  </si>
  <si>
    <t>Chi phí tổ chức Hội thảo tại Huế (lần 2)</t>
  </si>
  <si>
    <t>15 phòng x 02 đêm</t>
  </si>
  <si>
    <t>Chi phí tổ chức Hội nghị tại Hà Nội</t>
  </si>
  <si>
    <t>Thuê phòng khách sạn</t>
  </si>
  <si>
    <t>Hội trường âm thanh, ánh sáng, trang trí  (2 buổi)</t>
  </si>
  <si>
    <t>Chi phí khác; Chi phí biên tập và in giấy mời Hội thảo; Tiền nước phục vụ hội nghị</t>
  </si>
  <si>
    <t>gói</t>
  </si>
  <si>
    <t>50 phòng x 02 đêm</t>
  </si>
  <si>
    <t>Văn phòng phẩm (sổ tay, bút, giấy, kẹp giấy các loại)</t>
  </si>
  <si>
    <t>Màn hình Led P4 (Kích thước: 4m x 3m x 2 màn)</t>
  </si>
  <si>
    <t>m2</t>
  </si>
  <si>
    <t>Microphone hội nghị</t>
  </si>
  <si>
    <t>bộ</t>
  </si>
  <si>
    <t>Loa monitor</t>
  </si>
  <si>
    <t>Chi phí khác (giấy mời, bưu phí, thẩm định phí…)</t>
  </si>
  <si>
    <t>Chi phí họp báo</t>
  </si>
  <si>
    <t>Quan điểm, mục tiêu và định hướng mô hình phát triển</t>
  </si>
  <si>
    <t>Chương trình phát triển đô thị Thừa Thiên Huế trở thành thành phố theo tiêu chí đô thị loại I - trực thuộc Trung ương</t>
  </si>
  <si>
    <t>Đvt: Đồng</t>
  </si>
  <si>
    <t>Tổng hợp và viết lại nội dung từ các Đề án liên quan</t>
  </si>
  <si>
    <t xml:space="preserve"> </t>
  </si>
  <si>
    <t>Phân tích lợi thế, khó khăn, cơ hội và thách thức đối với việc xây dựng Thừa Thiên Huế trở thành phố trực thuộc trung ương</t>
  </si>
  <si>
    <t>Đánh giá đô thị sau khi điều chỉnh địa giới hành chính</t>
  </si>
  <si>
    <t xml:space="preserve">Đánh giá  tình hình thực hiện các cơ chế, chính sách đặc thù về di sản đối với Thừa Thiên Huế </t>
  </si>
  <si>
    <t>Dự báo phát triển kinh tế xã hội Thừa Thiên Huế khi trở thành thành phố trực thuộc trung ương</t>
  </si>
  <si>
    <t>Danh mục dự án</t>
  </si>
  <si>
    <t>Sử dụng từ Đề án liên quan</t>
  </si>
  <si>
    <t>Đánh giá tác động của việc hoàn thiện thể chế, cơ chế chính sách đặc thù đối với Thừa Thiên Huế</t>
  </si>
  <si>
    <t>Cân đối nhu cầu và khả năng các nguồn vốn thực hiện</t>
  </si>
  <si>
    <t xml:space="preserve">Vị trí chiến lược, tiềm năng, lợi thế của Thừa Thiên Huế </t>
  </si>
  <si>
    <t>Báo cáo viên trình bày tại Hội thảo</t>
  </si>
  <si>
    <t>Chi phí đi lại bằng xe oto Huế - Hà Nội (khứ hồi); đưa đón đại biểu nơi lưu trú - hội nghị</t>
  </si>
  <si>
    <t>Thanh toán theo thực tế phát sinh</t>
  </si>
  <si>
    <t>05 xe</t>
  </si>
  <si>
    <t>Chi phí cho đại biểu không hưởng lương từ ngân sách</t>
  </si>
  <si>
    <t>Chi phí khác (giấy mời, bưu phí, thẩm định giá…)</t>
  </si>
  <si>
    <t>Báo cáo không trình bày tại Hội thảo</t>
  </si>
  <si>
    <t>Hội thảo lấy ý kiến Báo cáo sơ bộ đề án (lần 1) tại tỉnh dự kiến tổ chức 01 ngày</t>
  </si>
  <si>
    <t>Giải khát giữa giờ</t>
  </si>
  <si>
    <t>Chi phí thuê xe đưa, đón khách mời (chuyên gia, cán bộ lão thành góp ý đề án; lộ trình sân bay - nơi lưu trú - đến Hội thảo: 5 xe 02 ngày)</t>
  </si>
  <si>
    <t>Giải khát giữa giờ (1 buổi)</t>
  </si>
  <si>
    <t>Chi mời cơm trưa đại biểu tham dự</t>
  </si>
  <si>
    <t>Chi phí Hội nghị (01 ngày)</t>
  </si>
  <si>
    <t xml:space="preserve">người </t>
  </si>
  <si>
    <t>Tạm tính, đơn vị thanh toán theo thực tế phát sinh</t>
  </si>
  <si>
    <t xml:space="preserve">Phòng nghỉ của đoàn đại biểu tỉnh và chuyên gia </t>
  </si>
  <si>
    <t>Xây dựng đoạn phim giới thiệu lịch sử, vùng đất, con người, văn hóa và chặn đường phấn đấu xây dựng Thành phố Trực thuộc TW</t>
  </si>
  <si>
    <t>Hội thảo lấy ý kiến thông qua đề án tại Tỉnh (Lần 2) dự kiến tổ chức 01 ngày</t>
  </si>
  <si>
    <t xml:space="preserve">Hội trường âm thanh, ánh sáng, trang trí  </t>
  </si>
  <si>
    <t>Thuê Microphone phục vụ hội nghị</t>
  </si>
  <si>
    <t>Thuê màn hình Led P4 (Kích thước: 4m x 3m x 2 màn)</t>
  </si>
  <si>
    <t>Thuê Loa monitor phục vụ hội nghị</t>
  </si>
  <si>
    <t>In ấn tài liệu hội thảo</t>
  </si>
  <si>
    <t>Chi văn phòng phẩm (sổ tay, bút, giấy, kẹp giấy các loại)</t>
  </si>
  <si>
    <t>Chi phí thuê xe đưa, đón khách mời (chủ yếu chuyên gia, cán bộ có kinh nghiệm tham gia Hội thảo; lộ trình sân bay - nơi lưu trú - đến Hội thảo: 5 xe)</t>
  </si>
  <si>
    <t xml:space="preserve">Chi phí Hội trường </t>
  </si>
  <si>
    <t>Thuê Microphone hội nghị</t>
  </si>
  <si>
    <t>Chi phí thuê Hội trường (hoa, màn hình led…)</t>
  </si>
  <si>
    <t xml:space="preserve">Chi giải khát giữa giờ </t>
  </si>
  <si>
    <t>Chi thuê tổ chức sự kiện (MC, market, âm thanh, ánh sáng, trang trí,…)</t>
  </si>
  <si>
    <t>Chi phí khác (giấy mời, bưu phẩm, phí thẩm định giá…)</t>
  </si>
  <si>
    <t>Chi phí xây dựng các nội dung đề án</t>
  </si>
  <si>
    <t xml:space="preserve">Phụ Biểu 01 </t>
  </si>
  <si>
    <t>Chi phí tổ chức Hội thảo tại Hà Nội</t>
  </si>
  <si>
    <t>TỔNG CỘNG (I+II+III+IV)</t>
  </si>
  <si>
    <t>Định mức theo Quyết định số 18/2016/QĐ-UBND ngày 15/03/2016 của UBND tỉnh về quy định mức xây dựng dự toán kinh phí đối với nhiệm vụ khoa học và công nghệ sử dụng NSNN</t>
  </si>
  <si>
    <t xml:space="preserve">Phụ biểu 01 </t>
  </si>
  <si>
    <t>Phụ biểu 02</t>
  </si>
  <si>
    <t>Phụ biểu 03</t>
  </si>
  <si>
    <t>Chi phí đánh giá thẩm định đề án</t>
  </si>
  <si>
    <t>DỰ TOÁN KINH PHÍ TỔ CHỨC CÁC HỘI THẢO</t>
  </si>
  <si>
    <t>DỰ TOÁN CHI HỌPTHẨM ĐỊNH ĐÁNH GIÁ ĐỀ ÁN</t>
  </si>
  <si>
    <t>Chi phí dự phòng khác</t>
  </si>
  <si>
    <t xml:space="preserve">Phụ Biểu 02 </t>
  </si>
  <si>
    <t xml:space="preserve">Phụ Biểu 03 </t>
  </si>
  <si>
    <t>Chi phí phòng nghỉ chuyên gia, khách mời trung ương</t>
  </si>
  <si>
    <t>BẢNG TỔNG HỢP DỰ TOÁN CHI PHÍ THỰC HIỆN ĐỀ ÁN  
XÂY DỰNG THỪA THIÊN HUẾ TRỞ THÀNH THÀNH PHỐ TRỰC THUỘC TRUNG ƯƠNG TRÊN NỀN TẢNG
 BẢO TỒN VÀ PHÁT HUY GIÁ TRỊ DI SẢN CỐ ĐÔ VÀ BẢN SẮC VĂN HÓA HUẾ; 
CƠ CHẾ, CHÍNH SÁCH ĐẶC THÙ ĐỐI VỚI THỪA THIÊN HUẾ</t>
  </si>
  <si>
    <t>((Kèm theo Quyết định số:         /QĐ-UBND ngày     tháng    năm 2020 của UBND tỉnh Thừa Thiên Huế)</t>
  </si>
  <si>
    <t>PHỤ LỤC 3</t>
  </si>
  <si>
    <t>(Kèm theo Quyết định số:  1002 /QĐ-UBND ngày  16  tháng 4  năm 2020 của UBND tỉnh Thừa Thiên Huế)</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</si>
</sst>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_(* #,##0.000_);_(* \(#,##0.000\);_(* &quot;-&quot;??_);_(@_)"/>
    <numFmt numFmtId="179" formatCode="[$-409]h:mm:ss\ AM/PM"/>
    <numFmt numFmtId="180" formatCode="0.0"/>
    <numFmt numFmtId="181" formatCode="#,##0;[Red]#,##0"/>
  </numFmts>
  <fonts count="86">
    <font>
      <sz val="11"/>
      <color theme="1"/>
      <name val="Calibri"/>
      <family val="2"/>
    </font>
    <font>
      <sz val="11"/>
      <color indexed="8"/>
      <name val="Calibri"/>
      <family val="2"/>
    </font>
    <font>
      <b/>
      <sz val="12"/>
      <name val="Times New Roman"/>
      <family val="1"/>
    </font>
    <font>
      <b/>
      <sz val="12"/>
      <color indexed="8"/>
      <name val="Times New Roman"/>
      <family val="1"/>
    </font>
    <font>
      <sz val="12"/>
      <color indexed="8"/>
      <name val="Times New Roman"/>
      <family val="1"/>
    </font>
    <font>
      <sz val="12"/>
      <name val="Times New Roman"/>
      <family val="1"/>
    </font>
    <font>
      <sz val="11"/>
      <name val="Times New Roman"/>
      <family val="1"/>
    </font>
    <font>
      <sz val="10"/>
      <name val="Arial"/>
      <family val="2"/>
    </font>
    <font>
      <sz val="10"/>
      <name val="VNtimes new roman"/>
      <family val="2"/>
    </font>
    <font>
      <b/>
      <sz val="14"/>
      <name val="Times New Roman"/>
      <family val="1"/>
    </font>
    <font>
      <i/>
      <sz val="14"/>
      <name val="Times New Roman"/>
      <family val="1"/>
    </font>
    <font>
      <i/>
      <sz val="13"/>
      <name val="Times New Roman"/>
      <family val="1"/>
    </font>
    <font>
      <b/>
      <sz val="13"/>
      <name val="Times New Roman"/>
      <family val="1"/>
    </font>
    <font>
      <sz val="13"/>
      <name val="Times New Roman"/>
      <family val="1"/>
    </font>
    <font>
      <sz val="14"/>
      <name val="Times New Roman"/>
      <family val="1"/>
    </font>
    <font>
      <sz val="12"/>
      <color indexed="10"/>
      <name val="Times New Roman"/>
      <family val="1"/>
    </font>
    <font>
      <b/>
      <sz val="12"/>
      <color indexed="10"/>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2"/>
      <color indexed="8"/>
      <name val="Calibri Light"/>
      <family val="1"/>
    </font>
    <font>
      <sz val="12"/>
      <color indexed="8"/>
      <name val="Calibri"/>
      <family val="2"/>
    </font>
    <font>
      <b/>
      <sz val="13"/>
      <color indexed="8"/>
      <name val="Times New Roman"/>
      <family val="1"/>
    </font>
    <font>
      <i/>
      <sz val="13"/>
      <color indexed="8"/>
      <name val="Times New Roman"/>
      <family val="1"/>
    </font>
    <font>
      <b/>
      <sz val="14"/>
      <color indexed="8"/>
      <name val="Times New Roman"/>
      <family val="1"/>
    </font>
    <font>
      <sz val="14"/>
      <color indexed="8"/>
      <name val="Times New Roman"/>
      <family val="1"/>
    </font>
    <font>
      <sz val="13"/>
      <color indexed="56"/>
      <name val="Times New Roman"/>
      <family val="1"/>
    </font>
    <font>
      <b/>
      <sz val="13"/>
      <color indexed="56"/>
      <name val="Times New Roman"/>
      <family val="1"/>
    </font>
    <font>
      <b/>
      <sz val="12"/>
      <color indexed="56"/>
      <name val="Times New Roman"/>
      <family val="1"/>
    </font>
    <font>
      <sz val="12"/>
      <color indexed="56"/>
      <name val="Times New Roman"/>
      <family val="1"/>
    </font>
    <font>
      <sz val="13"/>
      <color indexed="8"/>
      <name val="Times New Roman"/>
      <family val="1"/>
    </font>
    <font>
      <sz val="12"/>
      <name val="Calibri"/>
      <family val="2"/>
    </font>
    <font>
      <sz val="1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2"/>
      <color theme="1"/>
      <name val="Calibri Light"/>
      <family val="1"/>
    </font>
    <font>
      <sz val="12"/>
      <color theme="1"/>
      <name val="Times New Roman"/>
      <family val="1"/>
    </font>
    <font>
      <sz val="12"/>
      <color theme="1"/>
      <name val="Calibri"/>
      <family val="2"/>
    </font>
    <font>
      <b/>
      <sz val="12"/>
      <color theme="1"/>
      <name val="Times New Roman"/>
      <family val="1"/>
    </font>
    <font>
      <b/>
      <sz val="13"/>
      <color theme="1"/>
      <name val="Times New Roman"/>
      <family val="1"/>
    </font>
    <font>
      <i/>
      <sz val="13"/>
      <color theme="1"/>
      <name val="Times New Roman"/>
      <family val="1"/>
    </font>
    <font>
      <b/>
      <sz val="14"/>
      <color theme="1"/>
      <name val="Times New Roman"/>
      <family val="1"/>
    </font>
    <font>
      <sz val="14"/>
      <color theme="1"/>
      <name val="Times New Roman"/>
      <family val="1"/>
    </font>
    <font>
      <sz val="13"/>
      <color rgb="FF002060"/>
      <name val="Times New Roman"/>
      <family val="1"/>
    </font>
    <font>
      <b/>
      <sz val="13"/>
      <color rgb="FF002060"/>
      <name val="Times New Roman"/>
      <family val="1"/>
    </font>
    <font>
      <sz val="12"/>
      <color rgb="FFFF0000"/>
      <name val="Times New Roman"/>
      <family val="1"/>
    </font>
    <font>
      <b/>
      <sz val="12"/>
      <color rgb="FF002060"/>
      <name val="Times New Roman"/>
      <family val="1"/>
    </font>
    <font>
      <sz val="12"/>
      <color rgb="FF002060"/>
      <name val="Times New Roman"/>
      <family val="1"/>
    </font>
    <font>
      <sz val="13"/>
      <color theme="1"/>
      <name val="Times New Roman"/>
      <family val="1"/>
    </font>
    <font>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color indexed="63"/>
      </right>
      <top style="thin"/>
      <bottom style="thin"/>
    </border>
    <border>
      <left style="thin"/>
      <right style="thin"/>
      <top>
        <color indexed="63"/>
      </top>
      <bottom>
        <color indexed="63"/>
      </bottom>
    </border>
    <border>
      <left style="thin"/>
      <right style="thin"/>
      <top style="thin"/>
      <bottom style="hair"/>
    </border>
    <border>
      <left style="thin"/>
      <right style="thin"/>
      <top style="hair"/>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style="medium"/>
    </border>
    <border>
      <left style="thin"/>
      <right style="thin"/>
      <top style="hair"/>
      <bottom>
        <color indexed="63"/>
      </bottom>
    </border>
    <border>
      <left style="thin"/>
      <right style="thin"/>
      <top>
        <color indexed="63"/>
      </top>
      <bottom style="hair"/>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7" fillId="0" borderId="0">
      <alignment/>
      <protection/>
    </xf>
    <xf numFmtId="0" fontId="8"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59">
    <xf numFmtId="0" fontId="0" fillId="0" borderId="0" xfId="0" applyFont="1" applyAlignment="1">
      <alignment/>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69" fillId="0" borderId="0" xfId="0" applyFont="1" applyAlignment="1">
      <alignment vertical="center"/>
    </xf>
    <xf numFmtId="0" fontId="70" fillId="0" borderId="10" xfId="0" applyFont="1" applyBorder="1" applyAlignment="1">
      <alignment horizontal="center" vertical="center"/>
    </xf>
    <xf numFmtId="0" fontId="70" fillId="0" borderId="10" xfId="0" applyFont="1" applyBorder="1" applyAlignment="1">
      <alignment horizontal="center" vertical="center" wrapText="1"/>
    </xf>
    <xf numFmtId="0" fontId="69" fillId="0" borderId="10" xfId="0" applyFont="1" applyBorder="1" applyAlignment="1">
      <alignment horizontal="center" vertical="center"/>
    </xf>
    <xf numFmtId="0" fontId="69" fillId="0" borderId="10" xfId="0" applyFont="1" applyBorder="1" applyAlignment="1">
      <alignment vertical="center" wrapText="1"/>
    </xf>
    <xf numFmtId="172" fontId="69" fillId="0" borderId="10" xfId="42" applyNumberFormat="1" applyFont="1" applyBorder="1" applyAlignment="1">
      <alignment vertical="center"/>
    </xf>
    <xf numFmtId="0" fontId="69" fillId="0" borderId="10" xfId="0" applyFont="1" applyBorder="1" applyAlignment="1">
      <alignment vertical="center"/>
    </xf>
    <xf numFmtId="0" fontId="71" fillId="0" borderId="0" xfId="0" applyFont="1" applyAlignment="1">
      <alignment wrapText="1"/>
    </xf>
    <xf numFmtId="172" fontId="69" fillId="0" borderId="10" xfId="42" applyNumberFormat="1" applyFont="1" applyBorder="1" applyAlignment="1">
      <alignment horizontal="center" vertical="center"/>
    </xf>
    <xf numFmtId="0" fontId="72" fillId="0" borderId="0" xfId="0" applyFont="1" applyFill="1" applyAlignment="1">
      <alignment vertical="center"/>
    </xf>
    <xf numFmtId="0" fontId="73" fillId="0" borderId="0" xfId="0" applyFont="1" applyFill="1" applyAlignment="1">
      <alignment vertical="center"/>
    </xf>
    <xf numFmtId="0" fontId="72" fillId="0" borderId="0" xfId="0" applyFont="1" applyFill="1" applyAlignment="1">
      <alignment horizontal="center" vertical="center"/>
    </xf>
    <xf numFmtId="0" fontId="74" fillId="0" borderId="10" xfId="0" applyFont="1" applyFill="1" applyBorder="1" applyAlignment="1">
      <alignment horizontal="center" vertical="center"/>
    </xf>
    <xf numFmtId="172" fontId="74" fillId="0" borderId="10" xfId="42" applyNumberFormat="1" applyFont="1" applyFill="1" applyBorder="1" applyAlignment="1">
      <alignment horizontal="center" vertical="center"/>
    </xf>
    <xf numFmtId="0" fontId="72" fillId="0" borderId="11" xfId="0" applyFont="1" applyFill="1" applyBorder="1" applyAlignment="1">
      <alignment horizontal="center" vertical="center"/>
    </xf>
    <xf numFmtId="0" fontId="72" fillId="0" borderId="0" xfId="0" applyFont="1" applyFill="1" applyAlignment="1">
      <alignment vertical="center" wrapText="1"/>
    </xf>
    <xf numFmtId="0" fontId="74" fillId="0" borderId="10" xfId="0" applyFont="1" applyFill="1" applyBorder="1" applyAlignment="1">
      <alignment horizontal="center" vertical="center" wrapText="1"/>
    </xf>
    <xf numFmtId="172" fontId="0" fillId="0" borderId="0" xfId="42" applyNumberFormat="1" applyFont="1" applyAlignment="1">
      <alignment/>
    </xf>
    <xf numFmtId="0" fontId="69" fillId="0" borderId="10" xfId="0" applyFont="1" applyFill="1" applyBorder="1" applyAlignment="1">
      <alignment vertical="center" wrapText="1"/>
    </xf>
    <xf numFmtId="172" fontId="69" fillId="0" borderId="10" xfId="42" applyNumberFormat="1" applyFont="1" applyFill="1" applyBorder="1" applyAlignment="1">
      <alignment vertical="center"/>
    </xf>
    <xf numFmtId="172" fontId="73" fillId="0" borderId="0" xfId="0" applyNumberFormat="1" applyFont="1" applyFill="1" applyAlignment="1">
      <alignment vertical="center"/>
    </xf>
    <xf numFmtId="9" fontId="6" fillId="0" borderId="0" xfId="61" applyFont="1" applyAlignment="1">
      <alignment vertical="center"/>
    </xf>
    <xf numFmtId="0" fontId="74" fillId="0" borderId="0" xfId="0" applyFont="1" applyFill="1" applyAlignment="1">
      <alignment horizontal="left" vertical="center"/>
    </xf>
    <xf numFmtId="0" fontId="75" fillId="0" borderId="0" xfId="0" applyFont="1" applyFill="1" applyAlignment="1">
      <alignment vertical="center"/>
    </xf>
    <xf numFmtId="0" fontId="76" fillId="0" borderId="0" xfId="0" applyFont="1" applyFill="1" applyAlignment="1">
      <alignment vertical="center" wrapText="1"/>
    </xf>
    <xf numFmtId="0" fontId="77"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10" xfId="0" applyFont="1" applyBorder="1" applyAlignment="1">
      <alignment horizontal="justify" vertical="center" wrapText="1"/>
    </xf>
    <xf numFmtId="0" fontId="78" fillId="0" borderId="10" xfId="0" applyFont="1" applyBorder="1" applyAlignment="1">
      <alignment vertical="center" wrapText="1"/>
    </xf>
    <xf numFmtId="14" fontId="78" fillId="0" borderId="10" xfId="0" applyNumberFormat="1" applyFont="1" applyBorder="1" applyAlignment="1">
      <alignment horizontal="center" vertical="center" wrapText="1"/>
    </xf>
    <xf numFmtId="0" fontId="7" fillId="0" borderId="0" xfId="57" applyAlignment="1">
      <alignment horizontal="center" vertical="center"/>
      <protection/>
    </xf>
    <xf numFmtId="0" fontId="7" fillId="0" borderId="0" xfId="57">
      <alignment/>
      <protection/>
    </xf>
    <xf numFmtId="0" fontId="7" fillId="0" borderId="0" xfId="57" applyAlignment="1">
      <alignment horizontal="right" vertical="center"/>
      <protection/>
    </xf>
    <xf numFmtId="0" fontId="11" fillId="0" borderId="0" xfId="57" applyFont="1" applyAlignment="1">
      <alignment horizontal="right" vertical="center"/>
      <protection/>
    </xf>
    <xf numFmtId="0" fontId="12" fillId="0" borderId="10"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12" fillId="0" borderId="10" xfId="58" applyFont="1" applyBorder="1" applyAlignment="1">
      <alignment horizontal="left" vertical="center" wrapText="1"/>
      <protection/>
    </xf>
    <xf numFmtId="3" fontId="12" fillId="0" borderId="10" xfId="57" applyNumberFormat="1" applyFont="1" applyBorder="1" applyAlignment="1">
      <alignment horizontal="right" vertical="center" wrapText="1"/>
      <protection/>
    </xf>
    <xf numFmtId="0" fontId="9" fillId="0" borderId="10" xfId="58" applyFont="1" applyBorder="1" applyAlignment="1">
      <alignment horizontal="center" vertical="center"/>
      <protection/>
    </xf>
    <xf numFmtId="0" fontId="12" fillId="0" borderId="10" xfId="57" applyFont="1" applyBorder="1" applyAlignment="1">
      <alignment horizontal="left" vertical="center" wrapText="1"/>
      <protection/>
    </xf>
    <xf numFmtId="0" fontId="12" fillId="0" borderId="10" xfId="57" applyFont="1" applyBorder="1" applyAlignment="1">
      <alignment vertical="center" wrapText="1"/>
      <protection/>
    </xf>
    <xf numFmtId="0" fontId="14" fillId="0" borderId="10" xfId="58" applyFont="1" applyBorder="1" applyAlignment="1">
      <alignment horizontal="center" vertical="center"/>
      <protection/>
    </xf>
    <xf numFmtId="0" fontId="13" fillId="0" borderId="10" xfId="57" applyFont="1" applyBorder="1" applyAlignment="1">
      <alignment horizontal="left" vertical="center" wrapText="1"/>
      <protection/>
    </xf>
    <xf numFmtId="3" fontId="78" fillId="0" borderId="10" xfId="0" applyNumberFormat="1" applyFont="1" applyBorder="1" applyAlignment="1">
      <alignment vertical="center" wrapText="1"/>
    </xf>
    <xf numFmtId="0" fontId="13" fillId="0" borderId="10" xfId="57" applyFont="1" applyBorder="1" applyAlignment="1">
      <alignment vertical="center" wrapText="1"/>
      <protection/>
    </xf>
    <xf numFmtId="3" fontId="13" fillId="0" borderId="10" xfId="57" applyNumberFormat="1" applyFont="1" applyBorder="1" applyAlignment="1">
      <alignment horizontal="right" vertical="center" wrapText="1"/>
      <protection/>
    </xf>
    <xf numFmtId="0" fontId="13" fillId="0" borderId="12" xfId="57" applyFont="1" applyBorder="1" applyAlignment="1">
      <alignment horizontal="center" vertical="center" wrapText="1"/>
      <protection/>
    </xf>
    <xf numFmtId="3" fontId="0" fillId="0" borderId="0" xfId="0" applyNumberFormat="1" applyAlignment="1">
      <alignment/>
    </xf>
    <xf numFmtId="0" fontId="79" fillId="0" borderId="10" xfId="57" applyFont="1" applyBorder="1" applyAlignment="1">
      <alignment horizontal="center" vertical="center" wrapText="1"/>
      <protection/>
    </xf>
    <xf numFmtId="0" fontId="80" fillId="0" borderId="10" xfId="57" applyFont="1" applyBorder="1" applyAlignment="1">
      <alignment horizontal="center" vertical="center" wrapText="1"/>
      <protection/>
    </xf>
    <xf numFmtId="0" fontId="72" fillId="0" borderId="0" xfId="0" applyFont="1" applyFill="1" applyAlignment="1">
      <alignment horizontal="left" vertical="center" wrapText="1"/>
    </xf>
    <xf numFmtId="1" fontId="72" fillId="0" borderId="0" xfId="0" applyNumberFormat="1" applyFont="1" applyFill="1" applyAlignment="1">
      <alignment horizontal="center" vertical="center"/>
    </xf>
    <xf numFmtId="1" fontId="2" fillId="0" borderId="10" xfId="42" applyNumberFormat="1" applyFont="1" applyFill="1" applyBorder="1" applyAlignment="1">
      <alignment horizontal="center" vertical="center" wrapText="1"/>
    </xf>
    <xf numFmtId="172" fontId="2" fillId="0" borderId="10" xfId="42" applyNumberFormat="1" applyFont="1" applyFill="1" applyBorder="1" applyAlignment="1">
      <alignment horizontal="center" vertical="center" wrapText="1"/>
    </xf>
    <xf numFmtId="172" fontId="2" fillId="0" borderId="10" xfId="42" applyNumberFormat="1" applyFont="1" applyFill="1" applyBorder="1" applyAlignment="1">
      <alignment horizontal="left" vertical="center" wrapText="1"/>
    </xf>
    <xf numFmtId="1" fontId="5" fillId="0" borderId="10" xfId="42" applyNumberFormat="1" applyFont="1" applyFill="1" applyBorder="1" applyAlignment="1">
      <alignment horizontal="center" vertical="center" wrapText="1"/>
    </xf>
    <xf numFmtId="172" fontId="5" fillId="0" borderId="10" xfId="42" applyNumberFormat="1" applyFont="1" applyFill="1" applyBorder="1" applyAlignment="1">
      <alignment horizontal="left" vertical="center" wrapText="1"/>
    </xf>
    <xf numFmtId="172" fontId="5" fillId="0" borderId="10" xfId="42" applyNumberFormat="1" applyFont="1" applyFill="1" applyBorder="1" applyAlignment="1">
      <alignment horizontal="center" vertical="center" wrapText="1"/>
    </xf>
    <xf numFmtId="172" fontId="4" fillId="0" borderId="10" xfId="42" applyNumberFormat="1" applyFont="1" applyFill="1" applyBorder="1" applyAlignment="1">
      <alignment horizontal="left" vertical="center" wrapText="1"/>
    </xf>
    <xf numFmtId="172" fontId="4" fillId="0" borderId="10" xfId="42" applyNumberFormat="1" applyFont="1" applyFill="1" applyBorder="1" applyAlignment="1">
      <alignment horizontal="center" vertical="center" wrapText="1"/>
    </xf>
    <xf numFmtId="172" fontId="15" fillId="0" borderId="10" xfId="42" applyNumberFormat="1" applyFont="1" applyFill="1" applyBorder="1" applyAlignment="1">
      <alignment horizontal="center" vertical="center" wrapText="1"/>
    </xf>
    <xf numFmtId="172" fontId="16" fillId="0" borderId="10" xfId="42" applyNumberFormat="1" applyFont="1" applyFill="1" applyBorder="1" applyAlignment="1">
      <alignment horizontal="center" vertical="center" wrapText="1"/>
    </xf>
    <xf numFmtId="172" fontId="76" fillId="0" borderId="0" xfId="42" applyNumberFormat="1" applyFont="1" applyFill="1" applyAlignment="1">
      <alignment horizontal="right"/>
    </xf>
    <xf numFmtId="3" fontId="5" fillId="0" borderId="10" xfId="0" applyNumberFormat="1" applyFont="1" applyFill="1" applyBorder="1" applyAlignment="1">
      <alignment horizontal="center" vertical="center" wrapText="1"/>
    </xf>
    <xf numFmtId="172" fontId="72" fillId="0" borderId="10" xfId="42"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3" fontId="3" fillId="0" borderId="10" xfId="0" applyNumberFormat="1" applyFont="1" applyFill="1" applyBorder="1" applyAlignment="1">
      <alignment horizontal="right" vertical="center" wrapText="1"/>
    </xf>
    <xf numFmtId="172" fontId="81" fillId="0" borderId="10" xfId="42" applyNumberFormat="1" applyFont="1" applyFill="1" applyBorder="1" applyAlignment="1">
      <alignment horizontal="center" vertical="center" wrapText="1"/>
    </xf>
    <xf numFmtId="172" fontId="5" fillId="0" borderId="0" xfId="42" applyNumberFormat="1" applyFont="1" applyFill="1" applyBorder="1" applyAlignment="1">
      <alignment horizontal="center" vertical="center" wrapText="1"/>
    </xf>
    <xf numFmtId="172" fontId="5" fillId="0" borderId="0" xfId="42" applyNumberFormat="1" applyFont="1" applyFill="1" applyBorder="1" applyAlignment="1">
      <alignment horizontal="left" vertical="center" wrapText="1"/>
    </xf>
    <xf numFmtId="1" fontId="5" fillId="0" borderId="0" xfId="42" applyNumberFormat="1" applyFont="1" applyFill="1" applyBorder="1" applyAlignment="1">
      <alignment horizontal="center" vertical="center" wrapText="1"/>
    </xf>
    <xf numFmtId="172" fontId="2" fillId="0" borderId="10" xfId="42" applyNumberFormat="1" applyFont="1" applyFill="1" applyBorder="1" applyAlignment="1">
      <alignment horizontal="left" vertical="center"/>
    </xf>
    <xf numFmtId="0" fontId="2" fillId="0" borderId="10" xfId="57" applyFont="1" applyBorder="1" applyAlignment="1">
      <alignment horizontal="center" vertical="center" wrapText="1"/>
      <protection/>
    </xf>
    <xf numFmtId="0" fontId="82" fillId="0" borderId="10" xfId="57" applyFont="1" applyBorder="1" applyAlignment="1">
      <alignment horizontal="center" vertical="center" wrapText="1"/>
      <protection/>
    </xf>
    <xf numFmtId="0" fontId="5" fillId="0" borderId="10" xfId="57" applyFont="1" applyBorder="1" applyAlignment="1">
      <alignment horizontal="center" vertical="center" wrapText="1"/>
      <protection/>
    </xf>
    <xf numFmtId="0" fontId="2" fillId="0" borderId="10" xfId="58" applyFont="1" applyBorder="1" applyAlignment="1">
      <alignment horizontal="left" vertical="center" wrapText="1"/>
      <protection/>
    </xf>
    <xf numFmtId="3" fontId="2" fillId="0" borderId="10" xfId="57" applyNumberFormat="1" applyFont="1" applyBorder="1" applyAlignment="1">
      <alignment horizontal="right" vertical="center" wrapText="1"/>
      <protection/>
    </xf>
    <xf numFmtId="0" fontId="2" fillId="0" borderId="10" xfId="58" applyFont="1" applyBorder="1" applyAlignment="1">
      <alignment horizontal="center" vertical="center"/>
      <protection/>
    </xf>
    <xf numFmtId="0" fontId="5" fillId="0" borderId="12" xfId="57" applyFont="1" applyBorder="1" applyAlignment="1">
      <alignment horizontal="center" vertical="center" wrapText="1"/>
      <protection/>
    </xf>
    <xf numFmtId="0" fontId="5" fillId="0" borderId="10" xfId="57" applyFont="1" applyBorder="1" applyAlignment="1">
      <alignment vertical="center" wrapText="1"/>
      <protection/>
    </xf>
    <xf numFmtId="0" fontId="2" fillId="0" borderId="10" xfId="57" applyFont="1" applyBorder="1" applyAlignment="1">
      <alignment horizontal="left" vertical="center" wrapText="1"/>
      <protection/>
    </xf>
    <xf numFmtId="0" fontId="2" fillId="0" borderId="10" xfId="57" applyFont="1" applyBorder="1" applyAlignment="1">
      <alignment vertical="center" wrapText="1"/>
      <protection/>
    </xf>
    <xf numFmtId="0" fontId="5" fillId="0" borderId="10" xfId="58" applyFont="1" applyBorder="1" applyAlignment="1">
      <alignment horizontal="center" vertical="center"/>
      <protection/>
    </xf>
    <xf numFmtId="0" fontId="5" fillId="0" borderId="10" xfId="57" applyFont="1" applyBorder="1" applyAlignment="1">
      <alignment horizontal="left" vertical="center" wrapText="1"/>
      <protection/>
    </xf>
    <xf numFmtId="3" fontId="72" fillId="0" borderId="10" xfId="0" applyNumberFormat="1" applyFont="1" applyBorder="1" applyAlignment="1">
      <alignment vertical="center" wrapText="1"/>
    </xf>
    <xf numFmtId="0" fontId="83" fillId="0" borderId="10" xfId="57" applyFont="1" applyBorder="1" applyAlignment="1">
      <alignment horizontal="center" vertical="center" wrapText="1"/>
      <protection/>
    </xf>
    <xf numFmtId="3" fontId="5" fillId="0" borderId="10" xfId="57" applyNumberFormat="1" applyFont="1" applyBorder="1" applyAlignment="1">
      <alignment horizontal="right" vertical="center" wrapText="1"/>
      <protection/>
    </xf>
    <xf numFmtId="172" fontId="5" fillId="0" borderId="13" xfId="42" applyNumberFormat="1" applyFont="1" applyFill="1" applyBorder="1" applyAlignment="1">
      <alignment horizontal="center" vertical="center" wrapText="1"/>
    </xf>
    <xf numFmtId="172" fontId="5" fillId="0" borderId="13" xfId="42" applyNumberFormat="1" applyFont="1" applyFill="1" applyBorder="1" applyAlignment="1">
      <alignment vertical="center" wrapText="1"/>
    </xf>
    <xf numFmtId="1" fontId="5" fillId="0" borderId="14" xfId="42" applyNumberFormat="1" applyFont="1" applyFill="1" applyBorder="1" applyAlignment="1">
      <alignment horizontal="center" vertical="center" wrapText="1"/>
    </xf>
    <xf numFmtId="172" fontId="5" fillId="0" borderId="14" xfId="42" applyNumberFormat="1" applyFont="1" applyFill="1" applyBorder="1" applyAlignment="1">
      <alignment horizontal="left" vertical="center" wrapText="1"/>
    </xf>
    <xf numFmtId="172" fontId="5" fillId="0" borderId="14" xfId="42" applyNumberFormat="1" applyFont="1" applyFill="1" applyBorder="1" applyAlignment="1">
      <alignment horizontal="center" vertical="center" wrapText="1"/>
    </xf>
    <xf numFmtId="172" fontId="81" fillId="0" borderId="14" xfId="42" applyNumberFormat="1" applyFont="1" applyFill="1" applyBorder="1" applyAlignment="1">
      <alignment horizontal="center" vertical="center" wrapText="1"/>
    </xf>
    <xf numFmtId="1" fontId="5" fillId="0" borderId="11" xfId="42" applyNumberFormat="1" applyFont="1" applyFill="1" applyBorder="1" applyAlignment="1">
      <alignment horizontal="center" vertical="center" wrapText="1"/>
    </xf>
    <xf numFmtId="172" fontId="5" fillId="0" borderId="11" xfId="42" applyNumberFormat="1" applyFont="1" applyFill="1" applyBorder="1" applyAlignment="1">
      <alignment horizontal="left" vertical="center" wrapText="1"/>
    </xf>
    <xf numFmtId="172" fontId="5" fillId="0" borderId="11" xfId="42" applyNumberFormat="1" applyFont="1" applyFill="1" applyBorder="1" applyAlignment="1">
      <alignment horizontal="center" vertical="center" wrapText="1"/>
    </xf>
    <xf numFmtId="172" fontId="81" fillId="0" borderId="11" xfId="42" applyNumberFormat="1" applyFont="1" applyFill="1" applyBorder="1" applyAlignment="1">
      <alignment horizontal="center" vertical="center" wrapText="1"/>
    </xf>
    <xf numFmtId="172" fontId="5" fillId="0" borderId="15" xfId="42" applyNumberFormat="1" applyFont="1" applyFill="1" applyBorder="1" applyAlignment="1">
      <alignment horizontal="left" vertical="center" wrapText="1"/>
    </xf>
    <xf numFmtId="172" fontId="5" fillId="0" borderId="15" xfId="42" applyNumberFormat="1" applyFont="1" applyFill="1" applyBorder="1" applyAlignment="1">
      <alignment horizontal="center" vertical="center" wrapText="1"/>
    </xf>
    <xf numFmtId="172" fontId="2" fillId="0" borderId="15" xfId="42" applyNumberFormat="1" applyFont="1" applyFill="1" applyBorder="1" applyAlignment="1">
      <alignment horizontal="center" vertical="center" wrapText="1"/>
    </xf>
    <xf numFmtId="1" fontId="5" fillId="0" borderId="15" xfId="42" applyNumberFormat="1" applyFont="1" applyFill="1" applyBorder="1" applyAlignment="1">
      <alignment horizontal="center" vertical="center" wrapText="1"/>
    </xf>
    <xf numFmtId="0" fontId="73" fillId="0" borderId="0" xfId="0" applyFont="1" applyFill="1" applyAlignment="1">
      <alignment vertical="center" wrapText="1"/>
    </xf>
    <xf numFmtId="172" fontId="5" fillId="0" borderId="11" xfId="42" applyNumberFormat="1" applyFont="1" applyFill="1" applyBorder="1" applyAlignment="1">
      <alignment vertical="center" wrapText="1"/>
    </xf>
    <xf numFmtId="1" fontId="2" fillId="0" borderId="13" xfId="42" applyNumberFormat="1" applyFont="1" applyFill="1" applyBorder="1" applyAlignment="1">
      <alignment horizontal="center" vertical="center" wrapText="1"/>
    </xf>
    <xf numFmtId="172" fontId="2" fillId="0" borderId="13" xfId="42" applyNumberFormat="1" applyFont="1" applyFill="1" applyBorder="1" applyAlignment="1">
      <alignment horizontal="left" vertical="center" wrapText="1"/>
    </xf>
    <xf numFmtId="172" fontId="2" fillId="0" borderId="13" xfId="42"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0" fontId="72" fillId="0" borderId="14" xfId="0" applyFont="1" applyFill="1" applyBorder="1" applyAlignment="1">
      <alignment horizontal="center" vertical="center"/>
    </xf>
    <xf numFmtId="3" fontId="2" fillId="0" borderId="1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17" fillId="0" borderId="11" xfId="0" applyNumberFormat="1" applyFont="1" applyFill="1" applyBorder="1" applyAlignment="1">
      <alignment horizontal="center" vertical="center" wrapText="1"/>
    </xf>
    <xf numFmtId="0" fontId="17" fillId="0" borderId="11" xfId="0" applyFont="1" applyFill="1" applyBorder="1" applyAlignment="1">
      <alignmen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pplyAlignment="1">
      <alignment vertical="center" wrapText="1"/>
    </xf>
    <xf numFmtId="172" fontId="69" fillId="0" borderId="0" xfId="42" applyNumberFormat="1" applyFont="1" applyFill="1" applyAlignment="1">
      <alignment horizontal="left" vertical="center"/>
    </xf>
    <xf numFmtId="1" fontId="6" fillId="0" borderId="0" xfId="42" applyNumberFormat="1" applyFont="1" applyFill="1" applyAlignment="1">
      <alignment horizontal="center" vertical="center"/>
    </xf>
    <xf numFmtId="172" fontId="6" fillId="0" borderId="0" xfId="42" applyNumberFormat="1" applyFont="1" applyFill="1" applyAlignment="1">
      <alignment horizontal="left" vertical="center"/>
    </xf>
    <xf numFmtId="172" fontId="6" fillId="0" borderId="0" xfId="42" applyNumberFormat="1" applyFont="1" applyFill="1" applyAlignment="1">
      <alignment horizontal="center" vertical="center"/>
    </xf>
    <xf numFmtId="172" fontId="6" fillId="0" borderId="0" xfId="42" applyNumberFormat="1" applyFont="1" applyFill="1" applyAlignment="1">
      <alignment horizontal="center" vertical="center" wrapText="1"/>
    </xf>
    <xf numFmtId="172" fontId="69" fillId="0" borderId="0" xfId="42" applyNumberFormat="1" applyFont="1" applyFill="1" applyAlignment="1">
      <alignment horizontal="center" vertical="center"/>
    </xf>
    <xf numFmtId="172" fontId="69" fillId="0" borderId="0" xfId="42" applyNumberFormat="1" applyFont="1" applyFill="1" applyAlignment="1">
      <alignment horizontal="center" vertical="center" wrapText="1"/>
    </xf>
    <xf numFmtId="172" fontId="5" fillId="0" borderId="14" xfId="42" applyNumberFormat="1" applyFont="1" applyFill="1" applyBorder="1" applyAlignment="1">
      <alignment horizontal="center" vertical="center"/>
    </xf>
    <xf numFmtId="172" fontId="5" fillId="0" borderId="11" xfId="42" applyNumberFormat="1" applyFont="1" applyFill="1" applyBorder="1" applyAlignment="1">
      <alignment horizontal="center" vertical="center"/>
    </xf>
    <xf numFmtId="172" fontId="6" fillId="0" borderId="11" xfId="42" applyNumberFormat="1" applyFont="1" applyFill="1" applyBorder="1" applyAlignment="1">
      <alignment vertical="center" wrapText="1"/>
    </xf>
    <xf numFmtId="172" fontId="6" fillId="0" borderId="14" xfId="42" applyNumberFormat="1" applyFont="1" applyFill="1" applyBorder="1" applyAlignment="1">
      <alignment vertical="center" wrapText="1"/>
    </xf>
    <xf numFmtId="1" fontId="75" fillId="0" borderId="0" xfId="42" applyNumberFormat="1" applyFont="1" applyFill="1" applyBorder="1" applyAlignment="1">
      <alignment horizontal="center" vertical="center"/>
    </xf>
    <xf numFmtId="172" fontId="75" fillId="0" borderId="0" xfId="42" applyNumberFormat="1" applyFont="1" applyFill="1" applyBorder="1" applyAlignment="1">
      <alignment horizontal="left" vertical="center"/>
    </xf>
    <xf numFmtId="172" fontId="84" fillId="0" borderId="0" xfId="42" applyNumberFormat="1" applyFont="1" applyFill="1" applyBorder="1" applyAlignment="1">
      <alignment horizontal="center" vertical="center"/>
    </xf>
    <xf numFmtId="172" fontId="75" fillId="0" borderId="0" xfId="42" applyNumberFormat="1" applyFont="1" applyFill="1" applyBorder="1" applyAlignment="1">
      <alignment horizontal="center" vertical="center"/>
    </xf>
    <xf numFmtId="1" fontId="84" fillId="0" borderId="0" xfId="42" applyNumberFormat="1" applyFont="1" applyFill="1" applyBorder="1" applyAlignment="1">
      <alignment horizontal="center" vertical="center"/>
    </xf>
    <xf numFmtId="172" fontId="84" fillId="0" borderId="0" xfId="42" applyNumberFormat="1" applyFont="1" applyFill="1" applyBorder="1" applyAlignment="1">
      <alignment horizontal="left" vertical="center" wrapText="1"/>
    </xf>
    <xf numFmtId="172" fontId="84" fillId="0" borderId="0" xfId="42" applyNumberFormat="1" applyFont="1" applyFill="1" applyBorder="1" applyAlignment="1">
      <alignment horizontal="left" vertical="center"/>
    </xf>
    <xf numFmtId="1" fontId="69" fillId="0" borderId="0" xfId="42" applyNumberFormat="1" applyFont="1" applyFill="1" applyAlignment="1">
      <alignment horizontal="center" vertical="center"/>
    </xf>
    <xf numFmtId="172" fontId="69" fillId="0" borderId="15" xfId="42" applyNumberFormat="1" applyFont="1" applyFill="1" applyBorder="1" applyAlignment="1">
      <alignment horizontal="center" vertical="center"/>
    </xf>
    <xf numFmtId="1" fontId="2" fillId="0" borderId="14" xfId="42" applyNumberFormat="1" applyFont="1" applyFill="1" applyBorder="1" applyAlignment="1">
      <alignment horizontal="center" vertical="center" wrapText="1"/>
    </xf>
    <xf numFmtId="172" fontId="2" fillId="0" borderId="14" xfId="42" applyNumberFormat="1" applyFont="1" applyFill="1" applyBorder="1" applyAlignment="1">
      <alignment horizontal="left" vertical="center" wrapText="1"/>
    </xf>
    <xf numFmtId="172" fontId="2" fillId="0" borderId="14" xfId="42" applyNumberFormat="1" applyFont="1" applyFill="1" applyBorder="1" applyAlignment="1">
      <alignment horizontal="center" vertical="center" wrapText="1"/>
    </xf>
    <xf numFmtId="172" fontId="2" fillId="0" borderId="11" xfId="42" applyNumberFormat="1" applyFont="1" applyFill="1" applyBorder="1" applyAlignment="1">
      <alignment horizontal="center" vertical="center" wrapText="1"/>
    </xf>
    <xf numFmtId="1" fontId="2" fillId="0" borderId="11" xfId="42" applyNumberFormat="1" applyFont="1" applyFill="1" applyBorder="1" applyAlignment="1">
      <alignment horizontal="center" vertical="center" wrapText="1"/>
    </xf>
    <xf numFmtId="172" fontId="2" fillId="0" borderId="11" xfId="42" applyNumberFormat="1" applyFont="1" applyFill="1" applyBorder="1" applyAlignment="1">
      <alignment horizontal="left" vertical="center" wrapText="1"/>
    </xf>
    <xf numFmtId="0" fontId="72" fillId="0" borderId="14" xfId="0" applyFont="1" applyFill="1" applyBorder="1" applyAlignment="1">
      <alignment horizontal="center" vertical="center"/>
    </xf>
    <xf numFmtId="0" fontId="72" fillId="0" borderId="14" xfId="0" applyFont="1" applyFill="1" applyBorder="1" applyAlignment="1">
      <alignment horizontal="left" vertical="center" wrapText="1"/>
    </xf>
    <xf numFmtId="0" fontId="72" fillId="0" borderId="11" xfId="0" applyFont="1" applyFill="1" applyBorder="1" applyAlignment="1">
      <alignment horizontal="left" vertical="center" wrapText="1"/>
    </xf>
    <xf numFmtId="3" fontId="4" fillId="0" borderId="11" xfId="0" applyNumberFormat="1" applyFont="1" applyFill="1" applyBorder="1" applyAlignment="1">
      <alignment horizontal="right" vertical="center" wrapText="1"/>
    </xf>
    <xf numFmtId="0" fontId="0" fillId="0" borderId="15" xfId="0" applyFont="1" applyBorder="1" applyAlignment="1">
      <alignment/>
    </xf>
    <xf numFmtId="0" fontId="72" fillId="0" borderId="11" xfId="0" applyFont="1" applyFill="1" applyBorder="1" applyAlignment="1">
      <alignment horizontal="center" vertical="center"/>
    </xf>
    <xf numFmtId="172" fontId="6" fillId="0" borderId="15" xfId="42" applyNumberFormat="1" applyFont="1" applyFill="1" applyBorder="1" applyAlignment="1">
      <alignment vertical="center" wrapText="1"/>
    </xf>
    <xf numFmtId="1" fontId="5" fillId="0" borderId="0" xfId="0" applyNumberFormat="1"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vertical="center"/>
    </xf>
    <xf numFmtId="0" fontId="49" fillId="0" borderId="0" xfId="0" applyFont="1" applyFill="1" applyAlignment="1">
      <alignment wrapText="1"/>
    </xf>
    <xf numFmtId="0" fontId="49" fillId="0" borderId="0" xfId="0" applyFont="1" applyFill="1" applyAlignment="1">
      <alignment vertical="center"/>
    </xf>
    <xf numFmtId="0" fontId="49" fillId="0" borderId="0" xfId="0" applyFont="1" applyFill="1" applyAlignment="1">
      <alignment/>
    </xf>
    <xf numFmtId="0" fontId="9" fillId="0" borderId="0" xfId="0" applyFont="1" applyFill="1" applyAlignment="1">
      <alignment vertical="center" wrapText="1"/>
    </xf>
    <xf numFmtId="0" fontId="11" fillId="0" borderId="0" xfId="0" applyFont="1" applyFill="1" applyAlignment="1">
      <alignment vertical="center" wrapText="1"/>
    </xf>
    <xf numFmtId="172" fontId="49" fillId="0" borderId="0" xfId="0" applyNumberFormat="1" applyFont="1" applyFill="1" applyAlignment="1">
      <alignment vertical="center"/>
    </xf>
    <xf numFmtId="0" fontId="2"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3" fontId="5" fillId="0" borderId="16" xfId="0" applyNumberFormat="1" applyFont="1" applyFill="1" applyBorder="1" applyAlignment="1">
      <alignment horizontal="center" wrapText="1"/>
    </xf>
    <xf numFmtId="0" fontId="5" fillId="0" borderId="16" xfId="0" applyFont="1" applyFill="1" applyBorder="1" applyAlignment="1">
      <alignment horizontal="center" wrapText="1"/>
    </xf>
    <xf numFmtId="0" fontId="5" fillId="0" borderId="17" xfId="0" applyFont="1" applyFill="1" applyBorder="1" applyAlignment="1">
      <alignment horizontal="center" wrapText="1"/>
    </xf>
    <xf numFmtId="0" fontId="5" fillId="0" borderId="18" xfId="0" applyFont="1" applyFill="1" applyBorder="1" applyAlignment="1">
      <alignment horizontal="center" wrapText="1"/>
    </xf>
    <xf numFmtId="3" fontId="5" fillId="0" borderId="18" xfId="0" applyNumberFormat="1" applyFont="1" applyFill="1" applyBorder="1" applyAlignment="1">
      <alignment horizontal="center" wrapText="1"/>
    </xf>
    <xf numFmtId="1" fontId="6" fillId="0" borderId="15" xfId="42" applyNumberFormat="1" applyFont="1" applyFill="1" applyBorder="1" applyAlignment="1">
      <alignment horizontal="center" vertical="center"/>
    </xf>
    <xf numFmtId="172" fontId="6" fillId="0" borderId="15" xfId="42" applyNumberFormat="1" applyFont="1" applyFill="1" applyBorder="1" applyAlignment="1">
      <alignment horizontal="left" vertical="center"/>
    </xf>
    <xf numFmtId="172" fontId="6" fillId="0" borderId="15" xfId="42" applyNumberFormat="1" applyFont="1" applyFill="1" applyBorder="1" applyAlignment="1">
      <alignment horizontal="center" vertical="center"/>
    </xf>
    <xf numFmtId="0" fontId="5" fillId="0" borderId="0" xfId="0" applyFont="1" applyFill="1" applyAlignment="1">
      <alignment horizontal="right" vertical="center"/>
    </xf>
    <xf numFmtId="0" fontId="75" fillId="0" borderId="0" xfId="0" applyFont="1" applyFill="1" applyAlignment="1">
      <alignment vertical="center" wrapText="1"/>
    </xf>
    <xf numFmtId="0" fontId="84" fillId="0" borderId="0" xfId="0" applyFont="1" applyFill="1" applyAlignment="1">
      <alignment vertical="center"/>
    </xf>
    <xf numFmtId="0" fontId="85" fillId="0" borderId="0" xfId="0" applyFont="1" applyFill="1" applyAlignment="1">
      <alignment vertical="center"/>
    </xf>
    <xf numFmtId="172" fontId="85" fillId="0" borderId="0" xfId="0" applyNumberFormat="1" applyFont="1" applyFill="1" applyAlignment="1">
      <alignment vertical="center"/>
    </xf>
    <xf numFmtId="0" fontId="5" fillId="0" borderId="0" xfId="0" applyFont="1" applyFill="1" applyAlignment="1">
      <alignment vertical="center" wrapText="1"/>
    </xf>
    <xf numFmtId="172" fontId="5" fillId="0" borderId="0" xfId="42" applyNumberFormat="1" applyFont="1" applyFill="1" applyAlignment="1">
      <alignment horizontal="right" vertical="center"/>
    </xf>
    <xf numFmtId="172" fontId="5" fillId="0" borderId="0" xfId="0" applyNumberFormat="1" applyFont="1" applyFill="1" applyAlignment="1">
      <alignment vertical="center"/>
    </xf>
    <xf numFmtId="172" fontId="17" fillId="0" borderId="0" xfId="42" applyNumberFormat="1" applyFont="1" applyFill="1" applyAlignment="1">
      <alignment horizontal="right" vertical="center"/>
    </xf>
    <xf numFmtId="172" fontId="2" fillId="0" borderId="10" xfId="42"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10" xfId="0" applyFont="1" applyFill="1" applyBorder="1" applyAlignment="1">
      <alignment vertical="center"/>
    </xf>
    <xf numFmtId="172" fontId="2" fillId="0" borderId="10" xfId="42" applyNumberFormat="1" applyFont="1" applyFill="1" applyBorder="1" applyAlignment="1">
      <alignment horizontal="right" vertical="center"/>
    </xf>
    <xf numFmtId="0" fontId="2" fillId="0" borderId="14" xfId="0" applyFont="1" applyFill="1" applyBorder="1" applyAlignment="1">
      <alignment horizontal="center" vertical="center"/>
    </xf>
    <xf numFmtId="0" fontId="2" fillId="0" borderId="14" xfId="0" applyFont="1" applyFill="1" applyBorder="1" applyAlignment="1">
      <alignment vertical="center" wrapText="1"/>
    </xf>
    <xf numFmtId="0" fontId="5" fillId="0" borderId="14" xfId="0" applyFont="1" applyFill="1" applyBorder="1" applyAlignment="1">
      <alignment horizontal="center" vertical="center"/>
    </xf>
    <xf numFmtId="0" fontId="5" fillId="0" borderId="14" xfId="0" applyFont="1" applyFill="1" applyBorder="1" applyAlignment="1">
      <alignment vertical="center"/>
    </xf>
    <xf numFmtId="172" fontId="2" fillId="0" borderId="14" xfId="42" applyNumberFormat="1" applyFont="1" applyFill="1" applyBorder="1" applyAlignment="1">
      <alignment horizontal="right" vertical="center"/>
    </xf>
    <xf numFmtId="0" fontId="5" fillId="0" borderId="14" xfId="0" applyFont="1" applyFill="1" applyBorder="1" applyAlignment="1">
      <alignment vertical="center" wrapText="1"/>
    </xf>
    <xf numFmtId="172" fontId="2" fillId="0" borderId="0" xfId="0" applyNumberFormat="1" applyFont="1" applyFill="1" applyAlignment="1">
      <alignment vertical="center"/>
    </xf>
    <xf numFmtId="0" fontId="2" fillId="0" borderId="0" xfId="0" applyFont="1" applyFill="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172" fontId="2" fillId="0" borderId="11" xfId="42"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justify" vertical="center" wrapText="1"/>
    </xf>
    <xf numFmtId="172" fontId="5" fillId="0" borderId="11" xfId="42" applyNumberFormat="1" applyFont="1" applyFill="1" applyBorder="1" applyAlignment="1">
      <alignment vertical="center"/>
    </xf>
    <xf numFmtId="172" fontId="5" fillId="0" borderId="11" xfId="42" applyNumberFormat="1" applyFont="1" applyFill="1" applyBorder="1" applyAlignment="1">
      <alignment horizontal="right" vertical="center"/>
    </xf>
    <xf numFmtId="0" fontId="5" fillId="0" borderId="10" xfId="0" applyFont="1" applyFill="1" applyBorder="1" applyAlignment="1">
      <alignment horizontal="justify" vertical="center" wrapText="1"/>
    </xf>
    <xf numFmtId="172" fontId="5" fillId="0" borderId="10" xfId="42" applyNumberFormat="1" applyFont="1" applyFill="1" applyBorder="1" applyAlignment="1">
      <alignment vertical="center"/>
    </xf>
    <xf numFmtId="172" fontId="5" fillId="0" borderId="10" xfId="42" applyNumberFormat="1" applyFont="1" applyFill="1" applyBorder="1" applyAlignment="1">
      <alignment horizontal="right" vertical="center"/>
    </xf>
    <xf numFmtId="0" fontId="5" fillId="0" borderId="10" xfId="0" applyFont="1" applyFill="1" applyBorder="1" applyAlignment="1">
      <alignment vertical="center" wrapText="1"/>
    </xf>
    <xf numFmtId="0" fontId="5" fillId="0" borderId="11" xfId="0" applyFont="1" applyBorder="1" applyAlignment="1">
      <alignment horizontal="justify" vertical="center"/>
    </xf>
    <xf numFmtId="172" fontId="5" fillId="0" borderId="10" xfId="42" applyNumberFormat="1" applyFont="1" applyFill="1" applyBorder="1" applyAlignment="1">
      <alignment horizontal="center" vertical="center"/>
    </xf>
    <xf numFmtId="0" fontId="17" fillId="0" borderId="11" xfId="0" applyFont="1" applyFill="1" applyBorder="1" applyAlignment="1">
      <alignment horizontal="center" vertical="center"/>
    </xf>
    <xf numFmtId="172" fontId="17" fillId="0" borderId="11" xfId="42" applyNumberFormat="1" applyFont="1" applyFill="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5" fillId="0" borderId="10" xfId="0" applyFont="1" applyFill="1" applyBorder="1" applyAlignment="1">
      <alignment horizontal="center" vertical="center" wrapText="1"/>
    </xf>
    <xf numFmtId="0" fontId="2" fillId="0" borderId="11" xfId="0" applyFont="1" applyFill="1" applyBorder="1" applyAlignment="1">
      <alignment vertical="center"/>
    </xf>
    <xf numFmtId="172" fontId="2" fillId="0" borderId="11" xfId="42" applyNumberFormat="1" applyFont="1" applyFill="1" applyBorder="1" applyAlignment="1">
      <alignment horizontal="right" vertical="center"/>
    </xf>
    <xf numFmtId="0" fontId="5" fillId="0" borderId="15" xfId="0" applyFont="1" applyFill="1" applyBorder="1" applyAlignment="1">
      <alignment horizontal="center" vertical="center"/>
    </xf>
    <xf numFmtId="0" fontId="5" fillId="0" borderId="15" xfId="0" applyFont="1" applyFill="1" applyBorder="1" applyAlignment="1">
      <alignment vertical="center" wrapText="1"/>
    </xf>
    <xf numFmtId="0" fontId="5" fillId="0" borderId="15" xfId="0" applyFont="1" applyFill="1" applyBorder="1" applyAlignment="1">
      <alignment vertical="center"/>
    </xf>
    <xf numFmtId="172" fontId="5" fillId="0" borderId="15" xfId="42" applyNumberFormat="1" applyFont="1" applyFill="1" applyBorder="1" applyAlignment="1">
      <alignment horizontal="right" vertical="center"/>
    </xf>
    <xf numFmtId="172" fontId="72" fillId="0" borderId="14" xfId="42" applyNumberFormat="1" applyFont="1" applyFill="1" applyBorder="1" applyAlignment="1">
      <alignment horizontal="right" vertical="center"/>
    </xf>
    <xf numFmtId="0" fontId="81" fillId="33" borderId="11" xfId="0" applyFont="1" applyFill="1" applyBorder="1" applyAlignment="1">
      <alignment horizontal="center" vertical="center" wrapText="1"/>
    </xf>
    <xf numFmtId="0" fontId="5" fillId="33" borderId="11" xfId="0" applyFont="1" applyFill="1" applyBorder="1" applyAlignment="1">
      <alignment horizontal="center" vertical="center"/>
    </xf>
    <xf numFmtId="0" fontId="75" fillId="0" borderId="0" xfId="0" applyFont="1" applyFill="1" applyAlignment="1">
      <alignment horizontal="center" vertical="center" wrapText="1"/>
    </xf>
    <xf numFmtId="0" fontId="76" fillId="0" borderId="0" xfId="0" applyFont="1" applyFill="1" applyAlignment="1">
      <alignment horizontal="center" vertical="center" wrapText="1"/>
    </xf>
    <xf numFmtId="0" fontId="74" fillId="0" borderId="0" xfId="0" applyFont="1" applyFill="1" applyAlignment="1">
      <alignment horizontal="center" vertical="center"/>
    </xf>
    <xf numFmtId="0" fontId="2" fillId="0" borderId="0" xfId="0" applyFont="1" applyFill="1" applyAlignment="1">
      <alignment horizontal="center" vertical="center" wrapText="1"/>
    </xf>
    <xf numFmtId="0" fontId="17" fillId="0" borderId="0" xfId="0" applyFont="1" applyFill="1" applyAlignment="1">
      <alignment horizontal="center" vertical="center" wrapText="1"/>
    </xf>
    <xf numFmtId="0" fontId="17" fillId="0" borderId="0" xfId="0" applyFont="1" applyFill="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172" fontId="17" fillId="0" borderId="21" xfId="42" applyNumberFormat="1" applyFont="1" applyFill="1" applyBorder="1" applyAlignment="1">
      <alignment horizontal="right" vertical="center"/>
    </xf>
    <xf numFmtId="172" fontId="5" fillId="0" borderId="19" xfId="42" applyNumberFormat="1" applyFont="1" applyFill="1" applyBorder="1" applyAlignment="1">
      <alignment horizontal="center" vertical="center" wrapText="1"/>
    </xf>
    <xf numFmtId="172" fontId="5" fillId="0" borderId="13" xfId="42" applyNumberFormat="1" applyFont="1" applyFill="1" applyBorder="1" applyAlignment="1">
      <alignment horizontal="center" vertical="center" wrapText="1"/>
    </xf>
    <xf numFmtId="172" fontId="5" fillId="0" borderId="22" xfId="42" applyNumberFormat="1" applyFont="1" applyFill="1" applyBorder="1" applyAlignment="1">
      <alignment horizontal="center" vertical="center" wrapText="1"/>
    </xf>
    <xf numFmtId="172" fontId="6" fillId="0" borderId="19" xfId="42" applyNumberFormat="1" applyFont="1" applyFill="1" applyBorder="1" applyAlignment="1">
      <alignment horizontal="center" vertical="center" wrapText="1"/>
    </xf>
    <xf numFmtId="172" fontId="6" fillId="0" borderId="13" xfId="42" applyNumberFormat="1" applyFont="1" applyFill="1" applyBorder="1" applyAlignment="1">
      <alignment horizontal="center" vertical="center" wrapText="1"/>
    </xf>
    <xf numFmtId="172" fontId="6" fillId="0" borderId="22" xfId="42" applyNumberFormat="1" applyFont="1" applyFill="1" applyBorder="1" applyAlignment="1">
      <alignment horizontal="center" vertical="center" wrapText="1"/>
    </xf>
    <xf numFmtId="172" fontId="6" fillId="0" borderId="14" xfId="42" applyNumberFormat="1" applyFont="1" applyFill="1" applyBorder="1" applyAlignment="1">
      <alignment horizontal="center" vertical="center" wrapText="1"/>
    </xf>
    <xf numFmtId="172" fontId="6" fillId="0" borderId="11" xfId="42" applyNumberFormat="1" applyFont="1" applyFill="1" applyBorder="1" applyAlignment="1">
      <alignment horizontal="center" vertical="center" wrapText="1"/>
    </xf>
    <xf numFmtId="0" fontId="72" fillId="0" borderId="0" xfId="0" applyFont="1" applyFill="1" applyAlignment="1">
      <alignment horizontal="right" vertical="center"/>
    </xf>
    <xf numFmtId="172" fontId="5" fillId="0" borderId="11" xfId="42" applyNumberFormat="1" applyFont="1" applyFill="1" applyBorder="1" applyAlignment="1">
      <alignment horizontal="center" vertical="center" wrapText="1"/>
    </xf>
    <xf numFmtId="172" fontId="5" fillId="0" borderId="15" xfId="42" applyNumberFormat="1" applyFont="1" applyFill="1" applyBorder="1" applyAlignment="1">
      <alignment horizontal="center" vertical="center" wrapText="1"/>
    </xf>
    <xf numFmtId="172" fontId="17" fillId="0" borderId="21" xfId="42" applyNumberFormat="1" applyFont="1" applyFill="1" applyBorder="1" applyAlignment="1">
      <alignment horizontal="right"/>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69" fillId="0" borderId="0" xfId="0" applyFont="1" applyAlignment="1" quotePrefix="1">
      <alignment horizontal="left" vertical="center" wrapText="1"/>
    </xf>
    <xf numFmtId="0" fontId="69" fillId="0" borderId="0" xfId="0" applyFont="1" applyAlignment="1">
      <alignment horizontal="left" vertical="center" wrapText="1"/>
    </xf>
    <xf numFmtId="0" fontId="9" fillId="0" borderId="0" xfId="57" applyFont="1" applyAlignment="1">
      <alignment horizontal="center" vertical="center"/>
      <protection/>
    </xf>
    <xf numFmtId="0" fontId="9" fillId="0" borderId="0" xfId="57" applyFont="1" applyAlignment="1">
      <alignment horizontal="center" vertical="center" wrapText="1"/>
      <protection/>
    </xf>
    <xf numFmtId="0" fontId="10" fillId="0" borderId="0" xfId="57" applyFont="1" applyAlignment="1">
      <alignment horizontal="center" vertical="center" wrapText="1"/>
      <protection/>
    </xf>
    <xf numFmtId="0" fontId="13" fillId="0" borderId="23" xfId="57" applyFont="1" applyBorder="1" applyAlignment="1">
      <alignment horizontal="center" vertical="center" wrapText="1"/>
      <protection/>
    </xf>
    <xf numFmtId="0" fontId="13" fillId="0" borderId="13" xfId="57" applyFont="1" applyBorder="1" applyAlignment="1">
      <alignment horizontal="center" vertical="center" wrapText="1"/>
      <protection/>
    </xf>
    <xf numFmtId="0" fontId="13" fillId="0" borderId="22" xfId="57" applyFont="1" applyBorder="1" applyAlignment="1">
      <alignment horizontal="center" vertical="center" wrapText="1"/>
      <protection/>
    </xf>
    <xf numFmtId="0" fontId="11" fillId="0" borderId="0" xfId="57" applyFont="1" applyBorder="1" applyAlignment="1">
      <alignment horizontal="left" vertical="center" wrapText="1"/>
      <protection/>
    </xf>
    <xf numFmtId="0" fontId="11" fillId="0" borderId="0" xfId="57" applyFont="1" applyAlignment="1">
      <alignment horizontal="center" vertical="top" wrapText="1"/>
      <protection/>
    </xf>
    <xf numFmtId="0" fontId="10" fillId="0" borderId="0" xfId="57" applyFont="1" applyAlignment="1">
      <alignment horizontal="center" vertical="top" wrapText="1"/>
      <protection/>
    </xf>
    <xf numFmtId="0" fontId="5" fillId="0" borderId="23"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5" fillId="0" borderId="22" xfId="57" applyFont="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Ke hoach Dau thau song Bo" xfId="58"/>
    <cellStyle name="Note" xfId="59"/>
    <cellStyle name="Output" xfId="60"/>
    <cellStyle name="Percent" xfId="61"/>
    <cellStyle name="Title" xfId="62"/>
    <cellStyle name="Total" xfId="63"/>
    <cellStyle name="Warning Text" xfId="64"/>
  </cellStyles>
  <dxfs count="3">
    <dxf>
      <fill>
        <patternFill>
          <bgColor rgb="FFFF0000"/>
        </patternFill>
      </fill>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ll\Documents\Zalo%20Received%20Files\CHi%20phi%20De%20an%20Tong%20so%20TC%20gui%2023%20M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3 in"/>
      <sheetName val="Phụ biểu PL3"/>
      <sheetName val="CG"/>
      <sheetName val="PL"/>
      <sheetName val="PL4-KHDT"/>
      <sheetName val="CP Hoi thao (2)"/>
      <sheetName val="PL 4"/>
      <sheetName val="PL3"/>
    </sheetNames>
    <sheetDataSet>
      <sheetData sheetId="2">
        <row r="4">
          <cell r="A4" t="str">
            <v>CG1</v>
          </cell>
          <cell r="B4" t="str">
            <v>Mức 1: không quá 40.000.000 VNĐ/ tháng. Chuyên gia tư vấn có bằng đại học đúng chuyên ngành và có từ 15 năm kinh nghiệm hoặc thạc sỹ và 08 năm kinh nghiệm hoặc chuyên gia đảm nhiệm trưởng nhóm tư vấn</v>
          </cell>
          <cell r="C4">
            <v>40000000</v>
          </cell>
          <cell r="D4">
            <v>32000000</v>
          </cell>
          <cell r="E4">
            <v>1455000</v>
          </cell>
        </row>
        <row r="5">
          <cell r="A5" t="str">
            <v>CG2</v>
          </cell>
          <cell r="B5" t="str">
            <v>Mức 2: không quá 30.000.000 VNĐ/ tháng. Chuyên gia tư vấn có bằng đại học đúng chuyên ngành và có từ 10-15 năm kinh nghiệm hoặc thạc sỹ và 05-08 năm kinh nghiệm hoặc chuyên gia đảm nhiệm chủ trì hạng mục</v>
          </cell>
          <cell r="C5">
            <v>30000000</v>
          </cell>
          <cell r="D5">
            <v>24000000</v>
          </cell>
          <cell r="E5">
            <v>1091000</v>
          </cell>
        </row>
        <row r="6">
          <cell r="A6" t="str">
            <v>CG3</v>
          </cell>
          <cell r="B6" t="str">
            <v>Mức 3: không quá 20.000.000 VNĐ/ tháng. Chuyên gia tư vấn có bằng đại học đúng chuyên ngành và có 5-10 năm kinh nghiệm hoặc thạc sỹ và 3-5 năm kinh nghiệm</v>
          </cell>
          <cell r="C6">
            <v>20000000</v>
          </cell>
          <cell r="D6">
            <v>16000000</v>
          </cell>
          <cell r="E6">
            <v>727000</v>
          </cell>
        </row>
        <row r="7">
          <cell r="A7" t="str">
            <v>CG4</v>
          </cell>
          <cell r="B7" t="str">
            <v>Mức 4: không quá 15.000.000 VNĐ/ tháng. Chuyên gia tư vấn có bằng đại học đúng chuyên ngành và có dưới 5 năm kinh nghiệm hoặc thạc sỹ và dưới 3 năm kinh nghiệm</v>
          </cell>
          <cell r="C7">
            <v>15000000</v>
          </cell>
          <cell r="D7">
            <v>12000000</v>
          </cell>
          <cell r="E7">
            <v>545000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0"/>
  <sheetViews>
    <sheetView zoomScalePageLayoutView="0" workbookViewId="0" topLeftCell="A1">
      <selection activeCell="F6" sqref="F6"/>
    </sheetView>
  </sheetViews>
  <sheetFormatPr defaultColWidth="9.140625" defaultRowHeight="15"/>
  <cols>
    <col min="1" max="1" width="3.8515625" style="0" customWidth="1"/>
    <col min="2" max="2" width="66.421875" style="0" customWidth="1"/>
    <col min="3" max="3" width="31.421875" style="0" customWidth="1"/>
    <col min="4" max="4" width="23.7109375" style="0" customWidth="1"/>
    <col min="6" max="6" width="12.7109375" style="0" bestFit="1" customWidth="1"/>
  </cols>
  <sheetData>
    <row r="1" spans="1:4" ht="21" customHeight="1">
      <c r="A1" s="224" t="s">
        <v>274</v>
      </c>
      <c r="B1" s="224"/>
      <c r="C1" s="224"/>
      <c r="D1" s="224"/>
    </row>
    <row r="2" spans="1:4" ht="76.5" customHeight="1">
      <c r="A2" s="222" t="s">
        <v>272</v>
      </c>
      <c r="B2" s="222"/>
      <c r="C2" s="222"/>
      <c r="D2" s="222"/>
    </row>
    <row r="3" spans="1:4" ht="27.75" customHeight="1">
      <c r="A3" s="223" t="s">
        <v>181</v>
      </c>
      <c r="B3" s="223"/>
      <c r="C3" s="223"/>
      <c r="D3" s="223"/>
    </row>
    <row r="4" spans="1:4" ht="33.75" customHeight="1">
      <c r="A4" s="14"/>
      <c r="B4" s="18"/>
      <c r="D4" s="65" t="s">
        <v>43</v>
      </c>
    </row>
    <row r="5" spans="1:4" ht="45" customHeight="1">
      <c r="A5" s="15" t="s">
        <v>42</v>
      </c>
      <c r="B5" s="19" t="s">
        <v>1</v>
      </c>
      <c r="C5" s="16" t="s">
        <v>3</v>
      </c>
      <c r="D5" s="15" t="s">
        <v>7</v>
      </c>
    </row>
    <row r="6" spans="1:4" ht="42.75" customHeight="1">
      <c r="A6" s="15"/>
      <c r="B6" s="19" t="s">
        <v>153</v>
      </c>
      <c r="C6" s="71">
        <f>ROUND((C7+C9+C8),-6)</f>
        <v>2362000000</v>
      </c>
      <c r="D6" s="15"/>
    </row>
    <row r="7" spans="1:4" ht="46.5" customHeight="1">
      <c r="A7" s="112">
        <v>1</v>
      </c>
      <c r="B7" s="148" t="s">
        <v>39</v>
      </c>
      <c r="C7" s="219">
        <f>'PL3_B1_CP Chuyen gia'!F6</f>
        <v>497000000</v>
      </c>
      <c r="D7" s="147" t="s">
        <v>262</v>
      </c>
    </row>
    <row r="8" spans="1:6" ht="39" customHeight="1">
      <c r="A8" s="17">
        <v>2</v>
      </c>
      <c r="B8" s="149" t="s">
        <v>265</v>
      </c>
      <c r="C8" s="150">
        <f>'PL3_B1_CP Tham dinh'!F7</f>
        <v>49000000</v>
      </c>
      <c r="D8" s="152" t="s">
        <v>263</v>
      </c>
      <c r="F8" s="50">
        <f>C9+C8</f>
        <v>1865000000</v>
      </c>
    </row>
    <row r="9" spans="1:6" ht="59.25" customHeight="1">
      <c r="A9" s="17">
        <v>3</v>
      </c>
      <c r="B9" s="149" t="s">
        <v>144</v>
      </c>
      <c r="C9" s="150">
        <f>'PL3_B2_CP Hoi thao'!F7</f>
        <v>1816000000</v>
      </c>
      <c r="D9" s="152" t="s">
        <v>264</v>
      </c>
      <c r="F9" s="50">
        <f>F8+C7</f>
        <v>2362000000</v>
      </c>
    </row>
    <row r="10" spans="1:4" ht="15">
      <c r="A10" s="151"/>
      <c r="B10" s="151"/>
      <c r="C10" s="151"/>
      <c r="D10" s="151"/>
    </row>
  </sheetData>
  <sheetProtection/>
  <mergeCells count="3">
    <mergeCell ref="A2:D2"/>
    <mergeCell ref="A3:D3"/>
    <mergeCell ref="A1:D1"/>
  </mergeCells>
  <printOptions horizontalCentered="1"/>
  <pageMargins left="0.5118110236220472" right="0.2362204724409449" top="0.5905511811023623" bottom="0.7480314960629921" header="0.275590551181102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39"/>
  <sheetViews>
    <sheetView zoomScalePageLayoutView="0" workbookViewId="0" topLeftCell="A1">
      <pane xSplit="2" ySplit="5" topLeftCell="C36" activePane="bottomRight" state="frozen"/>
      <selection pane="topLeft" activeCell="A1" sqref="A1"/>
      <selection pane="topRight" activeCell="D1" sqref="D1"/>
      <selection pane="bottomLeft" activeCell="A4" sqref="A4"/>
      <selection pane="bottomRight" activeCell="F39" sqref="F39"/>
    </sheetView>
  </sheetViews>
  <sheetFormatPr defaultColWidth="9.140625" defaultRowHeight="15"/>
  <cols>
    <col min="1" max="1" width="5.00390625" style="156" bestFit="1" customWidth="1"/>
    <col min="2" max="2" width="58.00390625" style="179" customWidth="1"/>
    <col min="3" max="3" width="11.140625" style="156" customWidth="1"/>
    <col min="4" max="4" width="10.28125" style="156" customWidth="1"/>
    <col min="5" max="5" width="12.57421875" style="157" customWidth="1"/>
    <col min="6" max="6" width="16.57421875" style="180" customWidth="1"/>
    <col min="7" max="7" width="26.421875" style="157" customWidth="1"/>
    <col min="8" max="8" width="25.28125" style="157" customWidth="1"/>
    <col min="9" max="9" width="9.140625" style="157" customWidth="1"/>
    <col min="10" max="10" width="14.00390625" style="157" hidden="1" customWidth="1"/>
    <col min="11" max="11" width="5.00390625" style="157" hidden="1" customWidth="1"/>
    <col min="12" max="12" width="33.28125" style="157" hidden="1" customWidth="1"/>
    <col min="13" max="13" width="7.421875" style="157" hidden="1" customWidth="1"/>
    <col min="14" max="14" width="8.140625" style="157" hidden="1" customWidth="1"/>
    <col min="15" max="15" width="12.140625" style="157" hidden="1" customWidth="1"/>
    <col min="16" max="16" width="13.8515625" style="157" hidden="1" customWidth="1"/>
    <col min="17" max="16384" width="9.140625" style="157" customWidth="1"/>
  </cols>
  <sheetData>
    <row r="1" spans="7:13" ht="15.75">
      <c r="G1" s="174" t="s">
        <v>258</v>
      </c>
      <c r="L1" s="157">
        <f>175/202</f>
        <v>0.8663366336633663</v>
      </c>
      <c r="M1" s="157">
        <f>1-L1</f>
        <v>0.13366336633663367</v>
      </c>
    </row>
    <row r="2" spans="1:12" ht="15.75">
      <c r="A2" s="225" t="s">
        <v>41</v>
      </c>
      <c r="B2" s="225"/>
      <c r="C2" s="225"/>
      <c r="D2" s="225"/>
      <c r="E2" s="225"/>
      <c r="F2" s="225"/>
      <c r="G2" s="225"/>
      <c r="L2" s="157">
        <f>156/202</f>
        <v>0.7722772277227723</v>
      </c>
    </row>
    <row r="3" spans="1:12" ht="21" customHeight="1">
      <c r="A3" s="226" t="s">
        <v>273</v>
      </c>
      <c r="B3" s="227"/>
      <c r="C3" s="227"/>
      <c r="D3" s="227"/>
      <c r="E3" s="227"/>
      <c r="F3" s="227"/>
      <c r="G3" s="227"/>
      <c r="L3" s="181" t="e">
        <f>P6+#REF!</f>
        <v>#REF!</v>
      </c>
    </row>
    <row r="4" spans="7:10" ht="38.25" customHeight="1">
      <c r="G4" s="182" t="s">
        <v>44</v>
      </c>
      <c r="J4" s="181"/>
    </row>
    <row r="5" spans="1:7" s="184" customFormat="1" ht="41.25" customHeight="1">
      <c r="A5" s="69" t="s">
        <v>0</v>
      </c>
      <c r="B5" s="1" t="s">
        <v>1</v>
      </c>
      <c r="C5" s="1" t="s">
        <v>25</v>
      </c>
      <c r="D5" s="1" t="s">
        <v>38</v>
      </c>
      <c r="E5" s="2" t="s">
        <v>21</v>
      </c>
      <c r="F5" s="183" t="s">
        <v>3</v>
      </c>
      <c r="G5" s="69" t="s">
        <v>7</v>
      </c>
    </row>
    <row r="6" spans="1:16" s="184" customFormat="1" ht="30" customHeight="1">
      <c r="A6" s="69"/>
      <c r="B6" s="1" t="s">
        <v>12</v>
      </c>
      <c r="C6" s="69"/>
      <c r="D6" s="69"/>
      <c r="E6" s="185"/>
      <c r="F6" s="186">
        <f>ROUND((F7+F37+F38),-6)</f>
        <v>497000000</v>
      </c>
      <c r="G6" s="69"/>
      <c r="K6" s="69"/>
      <c r="L6" s="1" t="s">
        <v>12</v>
      </c>
      <c r="M6" s="69"/>
      <c r="N6" s="69"/>
      <c r="O6" s="185"/>
      <c r="P6" s="186">
        <f>ROUND((P7+P38+P37),-6)</f>
        <v>464000000</v>
      </c>
    </row>
    <row r="7" spans="1:16" s="194" customFormat="1" ht="31.5" customHeight="1">
      <c r="A7" s="187" t="s">
        <v>9</v>
      </c>
      <c r="B7" s="188" t="s">
        <v>257</v>
      </c>
      <c r="C7" s="111"/>
      <c r="D7" s="189"/>
      <c r="E7" s="190"/>
      <c r="F7" s="191">
        <f>ROUND(SUM(F8:F36),-6)</f>
        <v>397000000</v>
      </c>
      <c r="G7" s="192" t="s">
        <v>216</v>
      </c>
      <c r="H7" s="193">
        <f>H8+H13+H21+H27+H33</f>
        <v>396821000</v>
      </c>
      <c r="K7" s="69" t="s">
        <v>9</v>
      </c>
      <c r="L7" s="70" t="s">
        <v>24</v>
      </c>
      <c r="M7" s="66"/>
      <c r="N7" s="195"/>
      <c r="O7" s="196"/>
      <c r="P7" s="186">
        <f>SUBTOTAL(9,P8:P36)</f>
        <v>381905000</v>
      </c>
    </row>
    <row r="8" spans="1:16" s="194" customFormat="1" ht="38.25" customHeight="1">
      <c r="A8" s="119" t="s">
        <v>2</v>
      </c>
      <c r="B8" s="120" t="s">
        <v>149</v>
      </c>
      <c r="C8" s="113"/>
      <c r="D8" s="119"/>
      <c r="E8" s="119"/>
      <c r="F8" s="197"/>
      <c r="G8" s="117"/>
      <c r="H8" s="193">
        <f>SUM(F9:F12)</f>
        <v>46552000</v>
      </c>
      <c r="K8" s="69" t="s">
        <v>2</v>
      </c>
      <c r="L8" s="70" t="s">
        <v>149</v>
      </c>
      <c r="M8" s="2"/>
      <c r="N8" s="69">
        <f>SUBTOTAL(9,N9:N11)</f>
        <v>50</v>
      </c>
      <c r="O8" s="69"/>
      <c r="P8" s="183">
        <f>SUBTOTAL(9,P9:P11)</f>
        <v>49090000</v>
      </c>
    </row>
    <row r="9" spans="1:16" s="194" customFormat="1" ht="31.5" customHeight="1">
      <c r="A9" s="198">
        <v>1</v>
      </c>
      <c r="B9" s="199" t="s">
        <v>225</v>
      </c>
      <c r="C9" s="114" t="s">
        <v>16</v>
      </c>
      <c r="D9" s="198">
        <v>10</v>
      </c>
      <c r="E9" s="200">
        <f>VLOOKUP(C9,'CG'!$A$4:$E$7,5)</f>
        <v>727000</v>
      </c>
      <c r="F9" s="201">
        <f>E9*D9</f>
        <v>7270000</v>
      </c>
      <c r="G9" s="165"/>
      <c r="J9" s="198">
        <v>12</v>
      </c>
      <c r="K9" s="195">
        <v>1</v>
      </c>
      <c r="L9" s="202" t="s">
        <v>101</v>
      </c>
      <c r="M9" s="66" t="s">
        <v>16</v>
      </c>
      <c r="N9" s="195">
        <v>15</v>
      </c>
      <c r="O9" s="203">
        <f>VLOOKUP(M9,'[1]CG'!$A$4:$E$7,5)</f>
        <v>727000</v>
      </c>
      <c r="P9" s="204">
        <f>O9*N9</f>
        <v>10905000</v>
      </c>
    </row>
    <row r="10" spans="1:16" s="194" customFormat="1" ht="37.5" customHeight="1">
      <c r="A10" s="198">
        <v>2</v>
      </c>
      <c r="B10" s="199" t="s">
        <v>102</v>
      </c>
      <c r="C10" s="114" t="s">
        <v>15</v>
      </c>
      <c r="D10" s="198">
        <v>7</v>
      </c>
      <c r="E10" s="200">
        <f>VLOOKUP(C10,'CG'!$A$4:$E$7,5)</f>
        <v>1091000</v>
      </c>
      <c r="F10" s="201">
        <f aca="true" t="shared" si="0" ref="F10:F36">E10*D10</f>
        <v>7637000</v>
      </c>
      <c r="G10" s="165" t="s">
        <v>215</v>
      </c>
      <c r="J10" s="198">
        <v>12</v>
      </c>
      <c r="K10" s="195">
        <v>2</v>
      </c>
      <c r="L10" s="202" t="s">
        <v>102</v>
      </c>
      <c r="M10" s="66" t="s">
        <v>15</v>
      </c>
      <c r="N10" s="195">
        <v>20</v>
      </c>
      <c r="O10" s="203">
        <f>VLOOKUP(M10,'[1]CG'!$A$4:$E$7,5)</f>
        <v>1091000</v>
      </c>
      <c r="P10" s="204">
        <f>O10*N10</f>
        <v>21820000</v>
      </c>
    </row>
    <row r="11" spans="1:16" s="194" customFormat="1" ht="37.5" customHeight="1">
      <c r="A11" s="198">
        <v>3</v>
      </c>
      <c r="B11" s="199" t="s">
        <v>219</v>
      </c>
      <c r="C11" s="114" t="s">
        <v>15</v>
      </c>
      <c r="D11" s="198">
        <v>5</v>
      </c>
      <c r="E11" s="200">
        <f>VLOOKUP(C11,'CG'!$A$4:$E$7,5)</f>
        <v>1091000</v>
      </c>
      <c r="F11" s="201">
        <f t="shared" si="0"/>
        <v>5455000</v>
      </c>
      <c r="G11" s="165" t="s">
        <v>215</v>
      </c>
      <c r="J11" s="198"/>
      <c r="K11" s="195">
        <v>3</v>
      </c>
      <c r="L11" s="202" t="s">
        <v>103</v>
      </c>
      <c r="M11" s="66" t="s">
        <v>15</v>
      </c>
      <c r="N11" s="195">
        <v>15</v>
      </c>
      <c r="O11" s="203">
        <f>VLOOKUP(M11,'[1]CG'!$A$4:$E$7,5)</f>
        <v>1091000</v>
      </c>
      <c r="P11" s="204">
        <f>O11*N11</f>
        <v>16365000</v>
      </c>
    </row>
    <row r="12" spans="1:16" s="194" customFormat="1" ht="37.5" customHeight="1">
      <c r="A12" s="198">
        <v>4</v>
      </c>
      <c r="B12" s="199" t="s">
        <v>217</v>
      </c>
      <c r="C12" s="114" t="s">
        <v>14</v>
      </c>
      <c r="D12" s="198">
        <v>18</v>
      </c>
      <c r="E12" s="200">
        <f>VLOOKUP(C12,'CG'!$A$4:$E$7,5)</f>
        <v>1455000</v>
      </c>
      <c r="F12" s="201">
        <f t="shared" si="0"/>
        <v>26190000</v>
      </c>
      <c r="G12" s="117"/>
      <c r="J12" s="198"/>
      <c r="K12" s="195"/>
      <c r="L12" s="202"/>
      <c r="M12" s="66"/>
      <c r="N12" s="195"/>
      <c r="O12" s="203"/>
      <c r="P12" s="204"/>
    </row>
    <row r="13" spans="1:16" s="194" customFormat="1" ht="57" customHeight="1">
      <c r="A13" s="119" t="s">
        <v>4</v>
      </c>
      <c r="B13" s="120" t="s">
        <v>150</v>
      </c>
      <c r="C13" s="113"/>
      <c r="D13" s="119"/>
      <c r="E13" s="119"/>
      <c r="F13" s="201">
        <f t="shared" si="0"/>
        <v>0</v>
      </c>
      <c r="G13" s="117"/>
      <c r="H13" s="193">
        <f>SUM(F14:F20)</f>
        <v>135309000</v>
      </c>
      <c r="J13" s="119"/>
      <c r="K13" s="69" t="s">
        <v>4</v>
      </c>
      <c r="L13" s="70" t="s">
        <v>150</v>
      </c>
      <c r="M13" s="2"/>
      <c r="N13" s="69">
        <f>SUBTOTAL(9,N14:N17)</f>
        <v>65</v>
      </c>
      <c r="O13" s="69"/>
      <c r="P13" s="183">
        <f>SUBTOTAL(9,P14:P17)</f>
        <v>83655000</v>
      </c>
    </row>
    <row r="14" spans="1:16" ht="37.5" customHeight="1">
      <c r="A14" s="198">
        <v>1</v>
      </c>
      <c r="B14" s="117" t="s">
        <v>212</v>
      </c>
      <c r="C14" s="114" t="s">
        <v>14</v>
      </c>
      <c r="D14" s="198">
        <v>5</v>
      </c>
      <c r="E14" s="200">
        <f>VLOOKUP(C14,'CG'!$A$4:$E$7,5)</f>
        <v>1455000</v>
      </c>
      <c r="F14" s="201">
        <f t="shared" si="0"/>
        <v>7275000</v>
      </c>
      <c r="G14" s="117"/>
      <c r="J14" s="198">
        <v>12</v>
      </c>
      <c r="K14" s="195">
        <v>1</v>
      </c>
      <c r="L14" s="205" t="s">
        <v>18</v>
      </c>
      <c r="M14" s="66" t="s">
        <v>14</v>
      </c>
      <c r="N14" s="195">
        <v>15</v>
      </c>
      <c r="O14" s="203">
        <f>VLOOKUP(M14,'[1]CG'!$A$4:$E$7,5)</f>
        <v>1455000</v>
      </c>
      <c r="P14" s="204">
        <f>O14*N14</f>
        <v>21825000</v>
      </c>
    </row>
    <row r="15" spans="1:16" ht="37.5" customHeight="1">
      <c r="A15" s="198">
        <v>2</v>
      </c>
      <c r="B15" s="199" t="s">
        <v>104</v>
      </c>
      <c r="C15" s="114" t="s">
        <v>15</v>
      </c>
      <c r="D15" s="198">
        <v>8</v>
      </c>
      <c r="E15" s="200">
        <f>VLOOKUP(C15,'CG'!$A$4:$E$7,5)</f>
        <v>1091000</v>
      </c>
      <c r="F15" s="201">
        <f t="shared" si="0"/>
        <v>8728000</v>
      </c>
      <c r="G15" s="165" t="s">
        <v>215</v>
      </c>
      <c r="J15" s="198">
        <v>30</v>
      </c>
      <c r="K15" s="195">
        <v>2</v>
      </c>
      <c r="L15" s="202" t="s">
        <v>104</v>
      </c>
      <c r="M15" s="66" t="s">
        <v>15</v>
      </c>
      <c r="N15" s="195">
        <v>15</v>
      </c>
      <c r="O15" s="203">
        <f>VLOOKUP(M15,'[1]CG'!$A$4:$E$7,5)</f>
        <v>1091000</v>
      </c>
      <c r="P15" s="204">
        <f>O15*N15</f>
        <v>16365000</v>
      </c>
    </row>
    <row r="16" spans="1:16" ht="37.5" customHeight="1">
      <c r="A16" s="198">
        <v>3</v>
      </c>
      <c r="B16" s="117" t="s">
        <v>218</v>
      </c>
      <c r="C16" s="114" t="s">
        <v>15</v>
      </c>
      <c r="D16" s="198">
        <v>8</v>
      </c>
      <c r="E16" s="200">
        <f>VLOOKUP(C16,'CG'!$A$4:$E$7,5)</f>
        <v>1091000</v>
      </c>
      <c r="F16" s="201">
        <f t="shared" si="0"/>
        <v>8728000</v>
      </c>
      <c r="G16" s="165" t="s">
        <v>215</v>
      </c>
      <c r="J16" s="198"/>
      <c r="K16" s="195">
        <v>3</v>
      </c>
      <c r="L16" s="205" t="s">
        <v>105</v>
      </c>
      <c r="M16" s="66" t="s">
        <v>15</v>
      </c>
      <c r="N16" s="195">
        <v>15</v>
      </c>
      <c r="O16" s="203">
        <f>VLOOKUP(M16,'[1]CG'!$A$4:$E$7,5)</f>
        <v>1091000</v>
      </c>
      <c r="P16" s="204">
        <f>O16*N16</f>
        <v>16365000</v>
      </c>
    </row>
    <row r="17" spans="1:16" ht="37.5" customHeight="1">
      <c r="A17" s="198">
        <v>4</v>
      </c>
      <c r="B17" s="117" t="s">
        <v>213</v>
      </c>
      <c r="C17" s="114" t="s">
        <v>15</v>
      </c>
      <c r="D17" s="198">
        <v>8</v>
      </c>
      <c r="E17" s="200">
        <f>VLOOKUP(C17,'CG'!$A$4:$E$7,5)</f>
        <v>1091000</v>
      </c>
      <c r="F17" s="201">
        <f t="shared" si="0"/>
        <v>8728000</v>
      </c>
      <c r="G17" s="165" t="s">
        <v>215</v>
      </c>
      <c r="J17" s="198">
        <v>20</v>
      </c>
      <c r="K17" s="195">
        <v>4</v>
      </c>
      <c r="L17" s="205" t="s">
        <v>106</v>
      </c>
      <c r="M17" s="66" t="s">
        <v>14</v>
      </c>
      <c r="N17" s="195">
        <v>20</v>
      </c>
      <c r="O17" s="203">
        <f>VLOOKUP(M17,'[1]CG'!$A$4:$E$7,5)</f>
        <v>1455000</v>
      </c>
      <c r="P17" s="204">
        <f>O17*N17</f>
        <v>29100000</v>
      </c>
    </row>
    <row r="18" spans="1:16" ht="37.5" customHeight="1">
      <c r="A18" s="198">
        <v>5</v>
      </c>
      <c r="B18" s="117" t="s">
        <v>220</v>
      </c>
      <c r="C18" s="114" t="s">
        <v>14</v>
      </c>
      <c r="D18" s="198">
        <v>25</v>
      </c>
      <c r="E18" s="200">
        <f>VLOOKUP(C18,'CG'!$A$4:$E$7,5)</f>
        <v>1455000</v>
      </c>
      <c r="F18" s="201">
        <f t="shared" si="0"/>
        <v>36375000</v>
      </c>
      <c r="G18" s="165"/>
      <c r="J18" s="198"/>
      <c r="K18" s="195"/>
      <c r="L18" s="205"/>
      <c r="M18" s="66"/>
      <c r="N18" s="195"/>
      <c r="O18" s="203"/>
      <c r="P18" s="204"/>
    </row>
    <row r="19" spans="1:16" ht="37.5" customHeight="1">
      <c r="A19" s="198">
        <v>6</v>
      </c>
      <c r="B19" s="206" t="s">
        <v>223</v>
      </c>
      <c r="C19" s="114" t="s">
        <v>14</v>
      </c>
      <c r="D19" s="198">
        <v>28</v>
      </c>
      <c r="E19" s="200">
        <f>E18</f>
        <v>1455000</v>
      </c>
      <c r="F19" s="201">
        <f t="shared" si="0"/>
        <v>40740000</v>
      </c>
      <c r="G19" s="165"/>
      <c r="J19" s="198"/>
      <c r="K19" s="195"/>
      <c r="L19" s="205"/>
      <c r="M19" s="66"/>
      <c r="N19" s="195"/>
      <c r="O19" s="203"/>
      <c r="P19" s="204"/>
    </row>
    <row r="20" spans="1:16" ht="37.5" customHeight="1">
      <c r="A20" s="198">
        <v>7</v>
      </c>
      <c r="B20" s="206" t="s">
        <v>224</v>
      </c>
      <c r="C20" s="114" t="s">
        <v>14</v>
      </c>
      <c r="D20" s="221">
        <v>17</v>
      </c>
      <c r="E20" s="200">
        <f>E19</f>
        <v>1455000</v>
      </c>
      <c r="F20" s="201">
        <f t="shared" si="0"/>
        <v>24735000</v>
      </c>
      <c r="G20" s="165"/>
      <c r="J20" s="198"/>
      <c r="K20" s="195"/>
      <c r="L20" s="205"/>
      <c r="M20" s="66"/>
      <c r="N20" s="195"/>
      <c r="O20" s="203"/>
      <c r="P20" s="204"/>
    </row>
    <row r="21" spans="1:16" s="194" customFormat="1" ht="39.75" customHeight="1">
      <c r="A21" s="119" t="s">
        <v>5</v>
      </c>
      <c r="B21" s="120" t="s">
        <v>151</v>
      </c>
      <c r="C21" s="113"/>
      <c r="D21" s="119"/>
      <c r="E21" s="119"/>
      <c r="F21" s="201">
        <f t="shared" si="0"/>
        <v>0</v>
      </c>
      <c r="G21" s="117"/>
      <c r="H21" s="193">
        <f>F22+H23</f>
        <v>45105000</v>
      </c>
      <c r="J21" s="119"/>
      <c r="K21" s="69" t="s">
        <v>5</v>
      </c>
      <c r="L21" s="70" t="s">
        <v>151</v>
      </c>
      <c r="M21" s="2"/>
      <c r="N21" s="69">
        <f>SUBTOTAL(9,N22:N36)</f>
        <v>180</v>
      </c>
      <c r="O21" s="69"/>
      <c r="P21" s="183">
        <f>SUBTOTAL(9,P22:P36)</f>
        <v>249160000</v>
      </c>
    </row>
    <row r="22" spans="1:16" ht="39.75" customHeight="1">
      <c r="A22" s="198">
        <v>1</v>
      </c>
      <c r="B22" s="117" t="s">
        <v>107</v>
      </c>
      <c r="C22" s="114" t="s">
        <v>14</v>
      </c>
      <c r="D22" s="198">
        <v>15</v>
      </c>
      <c r="E22" s="200">
        <f>VLOOKUP(C22,'CG'!$A$4:$E$7,5)</f>
        <v>1455000</v>
      </c>
      <c r="F22" s="201">
        <f t="shared" si="0"/>
        <v>21825000</v>
      </c>
      <c r="G22" s="117"/>
      <c r="J22" s="198">
        <v>15</v>
      </c>
      <c r="K22" s="195">
        <v>1</v>
      </c>
      <c r="L22" s="205" t="s">
        <v>107</v>
      </c>
      <c r="M22" s="66" t="s">
        <v>14</v>
      </c>
      <c r="N22" s="195">
        <v>40</v>
      </c>
      <c r="O22" s="203">
        <f>VLOOKUP(M22,'[1]CG'!$A$4:$E$7,5)</f>
        <v>1455000</v>
      </c>
      <c r="P22" s="204">
        <f>O22*N22</f>
        <v>58200000</v>
      </c>
    </row>
    <row r="23" spans="1:16" ht="39.75" customHeight="1">
      <c r="A23" s="198">
        <v>2</v>
      </c>
      <c r="B23" s="117" t="s">
        <v>19</v>
      </c>
      <c r="C23" s="114" t="s">
        <v>14</v>
      </c>
      <c r="D23" s="198"/>
      <c r="E23" s="129"/>
      <c r="F23" s="201">
        <f t="shared" si="0"/>
        <v>0</v>
      </c>
      <c r="G23" s="117"/>
      <c r="H23" s="181">
        <f>F24+F25</f>
        <v>23280000</v>
      </c>
      <c r="J23" s="198">
        <v>15</v>
      </c>
      <c r="K23" s="195">
        <v>2</v>
      </c>
      <c r="L23" s="205" t="s">
        <v>19</v>
      </c>
      <c r="M23" s="66" t="s">
        <v>14</v>
      </c>
      <c r="N23" s="195">
        <f>SUBTOTAL(9,N24:N25)</f>
        <v>50</v>
      </c>
      <c r="O23" s="207">
        <f>SUBTOTAL(9,O24:O25)</f>
        <v>2910000</v>
      </c>
      <c r="P23" s="207">
        <f>SUBTOTAL(9,P24:P25)</f>
        <v>72750000</v>
      </c>
    </row>
    <row r="24" spans="1:16" ht="39.75" customHeight="1">
      <c r="A24" s="208" t="s">
        <v>108</v>
      </c>
      <c r="B24" s="116" t="s">
        <v>109</v>
      </c>
      <c r="C24" s="115" t="s">
        <v>14</v>
      </c>
      <c r="D24" s="208">
        <v>8</v>
      </c>
      <c r="E24" s="209">
        <f>VLOOKUP(C24,'CG'!$A$4:$E$7,5)</f>
        <v>1455000</v>
      </c>
      <c r="F24" s="201">
        <f t="shared" si="0"/>
        <v>11640000</v>
      </c>
      <c r="G24" s="228" t="s">
        <v>215</v>
      </c>
      <c r="J24" s="198"/>
      <c r="K24" s="195" t="s">
        <v>108</v>
      </c>
      <c r="L24" s="205" t="s">
        <v>109</v>
      </c>
      <c r="M24" s="66" t="s">
        <v>14</v>
      </c>
      <c r="N24" s="195">
        <v>10</v>
      </c>
      <c r="O24" s="203">
        <f>VLOOKUP(M24,'[1]CG'!$A$4:$E$7,5)</f>
        <v>1455000</v>
      </c>
      <c r="P24" s="204">
        <f aca="true" t="shared" si="1" ref="P24:P32">O24*N24</f>
        <v>14550000</v>
      </c>
    </row>
    <row r="25" spans="1:16" ht="39.75" customHeight="1">
      <c r="A25" s="208" t="s">
        <v>110</v>
      </c>
      <c r="B25" s="116" t="s">
        <v>111</v>
      </c>
      <c r="C25" s="115" t="s">
        <v>14</v>
      </c>
      <c r="D25" s="208">
        <v>8</v>
      </c>
      <c r="E25" s="209">
        <f>VLOOKUP(C25,'CG'!$A$4:$E$7,5)</f>
        <v>1455000</v>
      </c>
      <c r="F25" s="201">
        <f>E25*D25</f>
        <v>11640000</v>
      </c>
      <c r="G25" s="229"/>
      <c r="J25" s="198"/>
      <c r="K25" s="195" t="s">
        <v>110</v>
      </c>
      <c r="L25" s="205" t="s">
        <v>111</v>
      </c>
      <c r="M25" s="66" t="s">
        <v>14</v>
      </c>
      <c r="N25" s="195">
        <v>40</v>
      </c>
      <c r="O25" s="203">
        <f>VLOOKUP(M25,'[1]CG'!$A$4:$E$7,5)</f>
        <v>1455000</v>
      </c>
      <c r="P25" s="204">
        <f t="shared" si="1"/>
        <v>58200000</v>
      </c>
    </row>
    <row r="26" spans="1:16" ht="31.5" customHeight="1">
      <c r="A26" s="198">
        <v>3</v>
      </c>
      <c r="B26" s="117" t="s">
        <v>221</v>
      </c>
      <c r="C26" s="114"/>
      <c r="D26" s="198"/>
      <c r="E26" s="200"/>
      <c r="F26" s="201">
        <f t="shared" si="0"/>
        <v>0</v>
      </c>
      <c r="G26" s="165" t="s">
        <v>222</v>
      </c>
      <c r="J26" s="198"/>
      <c r="K26" s="195"/>
      <c r="L26" s="205"/>
      <c r="M26" s="66"/>
      <c r="N26" s="195"/>
      <c r="O26" s="203"/>
      <c r="P26" s="204"/>
    </row>
    <row r="27" spans="1:16" s="194" customFormat="1" ht="26.25" customHeight="1">
      <c r="A27" s="119" t="s">
        <v>20</v>
      </c>
      <c r="B27" s="210" t="s">
        <v>152</v>
      </c>
      <c r="C27" s="113"/>
      <c r="D27" s="119"/>
      <c r="E27" s="119"/>
      <c r="F27" s="201">
        <f t="shared" si="0"/>
        <v>0</v>
      </c>
      <c r="G27" s="117"/>
      <c r="H27" s="193">
        <f>H28+F32</f>
        <v>69840000</v>
      </c>
      <c r="J27" s="119"/>
      <c r="K27" s="69" t="s">
        <v>20</v>
      </c>
      <c r="L27" s="211" t="s">
        <v>152</v>
      </c>
      <c r="M27" s="2"/>
      <c r="N27" s="69">
        <f>SUBTOTAL(9,N28:N32)</f>
        <v>40</v>
      </c>
      <c r="O27" s="69"/>
      <c r="P27" s="183">
        <f>SUBTOTAL(9,P28:P32)</f>
        <v>58200000</v>
      </c>
    </row>
    <row r="28" spans="1:16" ht="26.25" customHeight="1">
      <c r="A28" s="198">
        <v>1</v>
      </c>
      <c r="B28" s="117" t="s">
        <v>112</v>
      </c>
      <c r="C28" s="114" t="s">
        <v>14</v>
      </c>
      <c r="D28" s="198"/>
      <c r="E28" s="209"/>
      <c r="F28" s="201">
        <f t="shared" si="0"/>
        <v>0</v>
      </c>
      <c r="G28" s="117"/>
      <c r="H28" s="181">
        <f>SUM(F29:F31)</f>
        <v>43650000</v>
      </c>
      <c r="J28" s="198"/>
      <c r="K28" s="195">
        <v>1</v>
      </c>
      <c r="L28" s="205" t="s">
        <v>112</v>
      </c>
      <c r="M28" s="66" t="s">
        <v>14</v>
      </c>
      <c r="N28" s="195">
        <f>SUBTOTAL(9,N29:N31)</f>
        <v>30</v>
      </c>
      <c r="O28" s="195">
        <f>SUBTOTAL(9,O29:O31)</f>
        <v>4365000</v>
      </c>
      <c r="P28" s="207">
        <f>SUBTOTAL(9,P29:P31)</f>
        <v>43650000</v>
      </c>
    </row>
    <row r="29" spans="1:16" ht="26.25" customHeight="1">
      <c r="A29" s="208" t="s">
        <v>108</v>
      </c>
      <c r="B29" s="116" t="s">
        <v>113</v>
      </c>
      <c r="C29" s="115" t="s">
        <v>14</v>
      </c>
      <c r="D29" s="208">
        <v>10</v>
      </c>
      <c r="E29" s="209">
        <f>VLOOKUP(C29,'CG'!$A$4:$E$7,5)</f>
        <v>1455000</v>
      </c>
      <c r="F29" s="201">
        <f t="shared" si="0"/>
        <v>14550000</v>
      </c>
      <c r="G29" s="117"/>
      <c r="J29" s="198"/>
      <c r="K29" s="195" t="s">
        <v>108</v>
      </c>
      <c r="L29" s="205" t="s">
        <v>113</v>
      </c>
      <c r="M29" s="66" t="s">
        <v>14</v>
      </c>
      <c r="N29" s="195">
        <v>10</v>
      </c>
      <c r="O29" s="203">
        <f>VLOOKUP(M29,'[1]CG'!$A$4:$E$7,5)</f>
        <v>1455000</v>
      </c>
      <c r="P29" s="204">
        <f t="shared" si="1"/>
        <v>14550000</v>
      </c>
    </row>
    <row r="30" spans="1:16" ht="26.25" customHeight="1">
      <c r="A30" s="208" t="s">
        <v>110</v>
      </c>
      <c r="B30" s="116" t="s">
        <v>114</v>
      </c>
      <c r="C30" s="115" t="s">
        <v>14</v>
      </c>
      <c r="D30" s="208">
        <v>10</v>
      </c>
      <c r="E30" s="209">
        <f>VLOOKUP(C30,'CG'!$A$4:$E$7,5)</f>
        <v>1455000</v>
      </c>
      <c r="F30" s="201">
        <f t="shared" si="0"/>
        <v>14550000</v>
      </c>
      <c r="G30" s="117"/>
      <c r="J30" s="198"/>
      <c r="K30" s="195" t="s">
        <v>110</v>
      </c>
      <c r="L30" s="205" t="s">
        <v>114</v>
      </c>
      <c r="M30" s="66" t="s">
        <v>14</v>
      </c>
      <c r="N30" s="195">
        <v>10</v>
      </c>
      <c r="O30" s="203">
        <f>VLOOKUP(M30,'[1]CG'!$A$4:$E$7,5)</f>
        <v>1455000</v>
      </c>
      <c r="P30" s="204">
        <f t="shared" si="1"/>
        <v>14550000</v>
      </c>
    </row>
    <row r="31" spans="1:16" ht="26.25" customHeight="1">
      <c r="A31" s="208" t="s">
        <v>116</v>
      </c>
      <c r="B31" s="116" t="s">
        <v>115</v>
      </c>
      <c r="C31" s="115" t="s">
        <v>14</v>
      </c>
      <c r="D31" s="208">
        <v>10</v>
      </c>
      <c r="E31" s="209">
        <f>VLOOKUP(C31,'CG'!$A$4:$E$7,5)</f>
        <v>1455000</v>
      </c>
      <c r="F31" s="201">
        <f t="shared" si="0"/>
        <v>14550000</v>
      </c>
      <c r="G31" s="117"/>
      <c r="J31" s="198"/>
      <c r="K31" s="195" t="s">
        <v>116</v>
      </c>
      <c r="L31" s="205" t="s">
        <v>115</v>
      </c>
      <c r="M31" s="66" t="s">
        <v>14</v>
      </c>
      <c r="N31" s="195">
        <v>10</v>
      </c>
      <c r="O31" s="203">
        <f>VLOOKUP(M31,'[1]CG'!$A$4:$E$7,5)</f>
        <v>1455000</v>
      </c>
      <c r="P31" s="204">
        <f t="shared" si="1"/>
        <v>14550000</v>
      </c>
    </row>
    <row r="32" spans="1:16" ht="26.25" customHeight="1">
      <c r="A32" s="198">
        <v>2</v>
      </c>
      <c r="B32" s="117" t="s">
        <v>117</v>
      </c>
      <c r="C32" s="114" t="s">
        <v>14</v>
      </c>
      <c r="D32" s="198">
        <v>18</v>
      </c>
      <c r="E32" s="200">
        <f>VLOOKUP(C32,'CG'!$A$4:$E$7,5)</f>
        <v>1455000</v>
      </c>
      <c r="F32" s="201">
        <f t="shared" si="0"/>
        <v>26190000</v>
      </c>
      <c r="G32" s="117"/>
      <c r="J32" s="198"/>
      <c r="K32" s="195">
        <v>2</v>
      </c>
      <c r="L32" s="205" t="s">
        <v>117</v>
      </c>
      <c r="M32" s="66" t="s">
        <v>14</v>
      </c>
      <c r="N32" s="195">
        <v>10</v>
      </c>
      <c r="O32" s="203">
        <f>VLOOKUP(M32,'[1]CG'!$A$4:$E$7,5)</f>
        <v>1455000</v>
      </c>
      <c r="P32" s="204">
        <f t="shared" si="1"/>
        <v>14550000</v>
      </c>
    </row>
    <row r="33" spans="1:16" s="194" customFormat="1" ht="26.25" customHeight="1">
      <c r="A33" s="119" t="s">
        <v>40</v>
      </c>
      <c r="B33" s="120" t="s">
        <v>46</v>
      </c>
      <c r="C33" s="113"/>
      <c r="D33" s="119"/>
      <c r="E33" s="119"/>
      <c r="F33" s="201">
        <f t="shared" si="0"/>
        <v>0</v>
      </c>
      <c r="G33" s="117"/>
      <c r="H33" s="193">
        <f>SUM(F34:F36)</f>
        <v>100015000</v>
      </c>
      <c r="J33" s="119"/>
      <c r="K33" s="69" t="s">
        <v>40</v>
      </c>
      <c r="L33" s="70" t="s">
        <v>46</v>
      </c>
      <c r="M33" s="2"/>
      <c r="N33" s="69">
        <f>SUBTOTAL(9,N34:N36)</f>
        <v>50</v>
      </c>
      <c r="O33" s="69"/>
      <c r="P33" s="183">
        <f>SUBTOTAL(9,P34:P36)</f>
        <v>60010000</v>
      </c>
    </row>
    <row r="34" spans="1:16" ht="26.25" customHeight="1">
      <c r="A34" s="198">
        <v>1</v>
      </c>
      <c r="B34" s="117" t="s">
        <v>6</v>
      </c>
      <c r="C34" s="114" t="s">
        <v>15</v>
      </c>
      <c r="D34" s="198">
        <v>50</v>
      </c>
      <c r="E34" s="200">
        <f>VLOOKUP(C34,'CG'!$A$4:$E$7,5)</f>
        <v>1091000</v>
      </c>
      <c r="F34" s="201">
        <f t="shared" si="0"/>
        <v>54550000</v>
      </c>
      <c r="G34" s="117"/>
      <c r="J34" s="198">
        <v>20</v>
      </c>
      <c r="K34" s="195">
        <v>1</v>
      </c>
      <c r="L34" s="205" t="s">
        <v>6</v>
      </c>
      <c r="M34" s="66" t="s">
        <v>15</v>
      </c>
      <c r="N34" s="195">
        <v>20</v>
      </c>
      <c r="O34" s="203">
        <f>VLOOKUP(M34,'[1]CG'!$A$4:$E$7,5)</f>
        <v>1091000</v>
      </c>
      <c r="P34" s="204">
        <f>O34*N34</f>
        <v>21820000</v>
      </c>
    </row>
    <row r="35" spans="1:16" ht="26.25" customHeight="1">
      <c r="A35" s="198">
        <v>2</v>
      </c>
      <c r="B35" s="117" t="s">
        <v>22</v>
      </c>
      <c r="C35" s="114" t="s">
        <v>15</v>
      </c>
      <c r="D35" s="198">
        <v>15</v>
      </c>
      <c r="E35" s="200">
        <f>VLOOKUP(C35,'CG'!$A$4:$E$7,5)</f>
        <v>1091000</v>
      </c>
      <c r="F35" s="201">
        <f t="shared" si="0"/>
        <v>16365000</v>
      </c>
      <c r="G35" s="117"/>
      <c r="J35" s="198">
        <v>15</v>
      </c>
      <c r="K35" s="195">
        <v>2</v>
      </c>
      <c r="L35" s="205" t="s">
        <v>22</v>
      </c>
      <c r="M35" s="66" t="s">
        <v>15</v>
      </c>
      <c r="N35" s="195">
        <v>15</v>
      </c>
      <c r="O35" s="203">
        <f>VLOOKUP(M35,'[1]CG'!$A$4:$E$7,5)</f>
        <v>1091000</v>
      </c>
      <c r="P35" s="204">
        <f>O35*N35</f>
        <v>16365000</v>
      </c>
    </row>
    <row r="36" spans="1:16" ht="26.25" customHeight="1">
      <c r="A36" s="165">
        <v>3</v>
      </c>
      <c r="B36" s="118" t="s">
        <v>8</v>
      </c>
      <c r="C36" s="114" t="s">
        <v>14</v>
      </c>
      <c r="D36" s="198">
        <v>20</v>
      </c>
      <c r="E36" s="200">
        <f>VLOOKUP(C36,'CG'!$A$4:$E$7,5)</f>
        <v>1455000</v>
      </c>
      <c r="F36" s="201">
        <f t="shared" si="0"/>
        <v>29100000</v>
      </c>
      <c r="G36" s="117"/>
      <c r="J36" s="198">
        <v>25</v>
      </c>
      <c r="K36" s="212">
        <v>3</v>
      </c>
      <c r="L36" s="68" t="s">
        <v>8</v>
      </c>
      <c r="M36" s="66" t="s">
        <v>14</v>
      </c>
      <c r="N36" s="195">
        <v>15</v>
      </c>
      <c r="O36" s="203">
        <f>VLOOKUP(M36,'[1]CG'!$A$4:$E$7,5)</f>
        <v>1455000</v>
      </c>
      <c r="P36" s="204">
        <f>O36*N36</f>
        <v>21825000</v>
      </c>
    </row>
    <row r="37" spans="1:16" s="194" customFormat="1" ht="26.25" customHeight="1">
      <c r="A37" s="119" t="s">
        <v>10</v>
      </c>
      <c r="B37" s="120" t="s">
        <v>45</v>
      </c>
      <c r="C37" s="119"/>
      <c r="D37" s="119"/>
      <c r="E37" s="213"/>
      <c r="F37" s="214">
        <v>60000000</v>
      </c>
      <c r="G37" s="120"/>
      <c r="K37" s="69" t="s">
        <v>10</v>
      </c>
      <c r="L37" s="70" t="s">
        <v>45</v>
      </c>
      <c r="M37" s="69"/>
      <c r="N37" s="69"/>
      <c r="O37" s="185"/>
      <c r="P37" s="186">
        <v>40000000</v>
      </c>
    </row>
    <row r="38" spans="1:16" s="194" customFormat="1" ht="26.25" customHeight="1">
      <c r="A38" s="119" t="s">
        <v>11</v>
      </c>
      <c r="B38" s="120" t="s">
        <v>23</v>
      </c>
      <c r="C38" s="120"/>
      <c r="D38" s="120"/>
      <c r="E38" s="120"/>
      <c r="F38" s="214">
        <f>ROUND(0.1*(F7),-6)</f>
        <v>40000000</v>
      </c>
      <c r="G38" s="113"/>
      <c r="K38" s="69" t="s">
        <v>11</v>
      </c>
      <c r="L38" s="70" t="s">
        <v>23</v>
      </c>
      <c r="M38" s="70"/>
      <c r="N38" s="70"/>
      <c r="O38" s="70"/>
      <c r="P38" s="186">
        <f>ROUND(0.1*(P37+P7),-3)</f>
        <v>42191000</v>
      </c>
    </row>
    <row r="39" spans="1:7" ht="15.75">
      <c r="A39" s="215"/>
      <c r="B39" s="216"/>
      <c r="C39" s="215"/>
      <c r="D39" s="215"/>
      <c r="E39" s="217"/>
      <c r="F39" s="218"/>
      <c r="G39" s="217"/>
    </row>
  </sheetData>
  <sheetProtection/>
  <mergeCells count="3">
    <mergeCell ref="A2:G2"/>
    <mergeCell ref="A3:G3"/>
    <mergeCell ref="G24:G25"/>
  </mergeCells>
  <conditionalFormatting sqref="J9:J36">
    <cfRule type="cellIs" priority="2" dxfId="2" operator="notEqual" stopIfTrue="1">
      <formula>D9</formula>
    </cfRule>
  </conditionalFormatting>
  <conditionalFormatting sqref="N9:N38">
    <cfRule type="cellIs" priority="1" dxfId="0" operator="notEqual" stopIfTrue="1">
      <formula>D9</formula>
    </cfRule>
  </conditionalFormatting>
  <printOptions horizontalCentered="1"/>
  <pageMargins left="0.32" right="0" top="0.62" bottom="0.65" header="0.31496062992126" footer="0.3149606299212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U80"/>
  <sheetViews>
    <sheetView workbookViewId="0" topLeftCell="A67">
      <selection activeCell="F8" sqref="F8"/>
    </sheetView>
  </sheetViews>
  <sheetFormatPr defaultColWidth="9.140625" defaultRowHeight="15" outlineLevelRow="2"/>
  <cols>
    <col min="1" max="1" width="6.00390625" style="139" customWidth="1"/>
    <col min="2" max="2" width="51.28125" style="121" customWidth="1"/>
    <col min="3" max="3" width="11.7109375" style="126" customWidth="1"/>
    <col min="4" max="4" width="10.7109375" style="126" customWidth="1"/>
    <col min="5" max="5" width="13.57421875" style="126" customWidth="1"/>
    <col min="6" max="6" width="18.7109375" style="126" customWidth="1"/>
    <col min="7" max="7" width="26.8515625" style="126" customWidth="1"/>
    <col min="8" max="8" width="25.00390625" style="127" hidden="1" customWidth="1"/>
    <col min="9" max="9" width="14.7109375" style="126" hidden="1" customWidth="1"/>
    <col min="10" max="10" width="3.421875" style="126" hidden="1" customWidth="1"/>
    <col min="11" max="11" width="10.8515625" style="126" hidden="1" customWidth="1"/>
    <col min="12" max="12" width="5.57421875" style="126" hidden="1" customWidth="1"/>
    <col min="13" max="13" width="22.140625" style="126" hidden="1" customWidth="1"/>
    <col min="14" max="14" width="7.7109375" style="126" hidden="1" customWidth="1"/>
    <col min="15" max="16" width="13.28125" style="126" hidden="1" customWidth="1"/>
    <col min="17" max="17" width="16.421875" style="126" hidden="1" customWidth="1"/>
    <col min="18" max="18" width="30.421875" style="126" hidden="1" customWidth="1"/>
    <col min="19" max="19" width="17.28125" style="126" hidden="1" customWidth="1"/>
    <col min="20" max="20" width="9.140625" style="126" customWidth="1"/>
    <col min="21" max="21" width="17.421875" style="126" customWidth="1"/>
    <col min="22" max="22" width="9.7109375" style="126" bestFit="1" customWidth="1"/>
    <col min="23" max="16384" width="9.140625" style="126" customWidth="1"/>
  </cols>
  <sheetData>
    <row r="1" spans="1:9" s="13" customFormat="1" ht="15.75">
      <c r="A1" s="54"/>
      <c r="B1" s="53"/>
      <c r="C1" s="14"/>
      <c r="D1" s="14"/>
      <c r="E1" s="12"/>
      <c r="F1" s="239" t="s">
        <v>270</v>
      </c>
      <c r="G1" s="239"/>
      <c r="H1" s="106"/>
      <c r="I1" s="121" t="s">
        <v>160</v>
      </c>
    </row>
    <row r="2" spans="1:9" s="177" customFormat="1" ht="24" customHeight="1">
      <c r="A2" s="222" t="s">
        <v>266</v>
      </c>
      <c r="B2" s="222"/>
      <c r="C2" s="222"/>
      <c r="D2" s="222"/>
      <c r="E2" s="222"/>
      <c r="F2" s="222"/>
      <c r="G2" s="222"/>
      <c r="H2" s="175"/>
      <c r="I2" s="176"/>
    </row>
    <row r="3" spans="1:11" s="177" customFormat="1" ht="22.5" customHeight="1">
      <c r="A3" s="223" t="s">
        <v>181</v>
      </c>
      <c r="B3" s="223"/>
      <c r="C3" s="223"/>
      <c r="D3" s="223"/>
      <c r="E3" s="223"/>
      <c r="F3" s="223"/>
      <c r="G3" s="223"/>
      <c r="H3" s="27"/>
      <c r="I3" s="176"/>
      <c r="K3" s="178">
        <f>F7-N8</f>
        <v>1816000000</v>
      </c>
    </row>
    <row r="4" spans="1:11" s="13" customFormat="1" ht="15.75">
      <c r="A4" s="54"/>
      <c r="B4" s="53"/>
      <c r="C4" s="14"/>
      <c r="D4" s="14"/>
      <c r="E4" s="12"/>
      <c r="H4" s="106"/>
      <c r="I4" s="12"/>
      <c r="K4" s="23"/>
    </row>
    <row r="5" spans="1:9" ht="15.75">
      <c r="A5" s="122"/>
      <c r="B5" s="123"/>
      <c r="C5" s="124"/>
      <c r="D5" s="124"/>
      <c r="E5" s="124"/>
      <c r="F5" s="230" t="s">
        <v>44</v>
      </c>
      <c r="G5" s="230"/>
      <c r="H5" s="125"/>
      <c r="I5" s="124"/>
    </row>
    <row r="6" spans="1:11" ht="31.5">
      <c r="A6" s="55" t="s">
        <v>42</v>
      </c>
      <c r="B6" s="56" t="s">
        <v>28</v>
      </c>
      <c r="C6" s="56" t="s">
        <v>118</v>
      </c>
      <c r="D6" s="56" t="s">
        <v>119</v>
      </c>
      <c r="E6" s="56" t="s">
        <v>13</v>
      </c>
      <c r="F6" s="56" t="s">
        <v>3</v>
      </c>
      <c r="G6" s="56" t="s">
        <v>7</v>
      </c>
      <c r="H6" s="125" t="s">
        <v>156</v>
      </c>
      <c r="I6" s="124"/>
      <c r="K6" s="126" t="s">
        <v>9</v>
      </c>
    </row>
    <row r="7" spans="1:21" ht="31.5">
      <c r="A7" s="55"/>
      <c r="B7" s="56" t="s">
        <v>260</v>
      </c>
      <c r="C7" s="56"/>
      <c r="D7" s="56"/>
      <c r="E7" s="56"/>
      <c r="F7" s="56">
        <f>ROUND((F8+F24+F42+F67),-6)</f>
        <v>1816000000</v>
      </c>
      <c r="G7" s="56"/>
      <c r="H7" s="125"/>
      <c r="I7" s="124">
        <f aca="true" t="shared" si="0" ref="I7:I13">F7-Q7</f>
        <v>70800000</v>
      </c>
      <c r="K7" s="126" t="s">
        <v>2</v>
      </c>
      <c r="L7" s="55" t="s">
        <v>9</v>
      </c>
      <c r="M7" s="57" t="s">
        <v>185</v>
      </c>
      <c r="N7" s="56"/>
      <c r="O7" s="56"/>
      <c r="P7" s="56"/>
      <c r="Q7" s="56">
        <f>SUBTOTAL(9,Q8:Q71)</f>
        <v>1745200000</v>
      </c>
      <c r="R7" s="127"/>
      <c r="S7" s="126">
        <v>1989200000</v>
      </c>
      <c r="U7" s="13"/>
    </row>
    <row r="8" spans="1:19" ht="29.25" customHeight="1">
      <c r="A8" s="55" t="s">
        <v>2</v>
      </c>
      <c r="B8" s="76" t="s">
        <v>233</v>
      </c>
      <c r="C8" s="56"/>
      <c r="D8" s="56"/>
      <c r="E8" s="56"/>
      <c r="F8" s="56">
        <f>SUM(F9:F23)</f>
        <v>192400000</v>
      </c>
      <c r="G8" s="56"/>
      <c r="H8" s="125" t="s">
        <v>158</v>
      </c>
      <c r="I8" s="124">
        <f t="shared" si="0"/>
        <v>-12800000</v>
      </c>
      <c r="K8" s="126">
        <v>1</v>
      </c>
      <c r="L8" s="55" t="s">
        <v>2</v>
      </c>
      <c r="M8" s="57" t="s">
        <v>186</v>
      </c>
      <c r="N8" s="56"/>
      <c r="O8" s="56"/>
      <c r="P8" s="56"/>
      <c r="Q8" s="56">
        <f>SUBTOTAL(9,Q9:Q23)</f>
        <v>205200000</v>
      </c>
      <c r="R8" s="127" t="s">
        <v>158</v>
      </c>
      <c r="S8" s="126">
        <v>209200000</v>
      </c>
    </row>
    <row r="9" spans="1:18" ht="27.75" customHeight="1" outlineLevel="2">
      <c r="A9" s="94">
        <v>1</v>
      </c>
      <c r="B9" s="95" t="s">
        <v>161</v>
      </c>
      <c r="C9" s="128" t="s">
        <v>125</v>
      </c>
      <c r="D9" s="96">
        <v>1</v>
      </c>
      <c r="E9" s="97">
        <v>1200000</v>
      </c>
      <c r="F9" s="96">
        <f>D9*E9</f>
        <v>1200000</v>
      </c>
      <c r="G9" s="237" t="s">
        <v>261</v>
      </c>
      <c r="H9" s="125" t="s">
        <v>157</v>
      </c>
      <c r="I9" s="124">
        <f t="shared" si="0"/>
        <v>-28800000</v>
      </c>
      <c r="K9" s="126">
        <v>2</v>
      </c>
      <c r="L9" s="58">
        <v>1</v>
      </c>
      <c r="M9" s="59" t="s">
        <v>187</v>
      </c>
      <c r="N9" s="67" t="s">
        <v>188</v>
      </c>
      <c r="O9" s="60">
        <v>1</v>
      </c>
      <c r="P9" s="72">
        <v>30000000</v>
      </c>
      <c r="Q9" s="72">
        <f>O9*P9</f>
        <v>30000000</v>
      </c>
      <c r="R9" s="127" t="s">
        <v>157</v>
      </c>
    </row>
    <row r="10" spans="1:18" ht="27.75" customHeight="1" outlineLevel="2">
      <c r="A10" s="98">
        <v>2</v>
      </c>
      <c r="B10" s="99" t="s">
        <v>226</v>
      </c>
      <c r="C10" s="129" t="s">
        <v>142</v>
      </c>
      <c r="D10" s="100">
        <v>5</v>
      </c>
      <c r="E10" s="101">
        <v>1600000</v>
      </c>
      <c r="F10" s="100">
        <f aca="true" t="shared" si="1" ref="F10:F18">D10*E10</f>
        <v>8000000</v>
      </c>
      <c r="G10" s="238"/>
      <c r="H10" s="125" t="s">
        <v>157</v>
      </c>
      <c r="I10" s="124">
        <f t="shared" si="0"/>
        <v>-17000000</v>
      </c>
      <c r="K10" s="126">
        <v>3</v>
      </c>
      <c r="L10" s="58">
        <v>2</v>
      </c>
      <c r="M10" s="59" t="s">
        <v>189</v>
      </c>
      <c r="N10" s="67" t="s">
        <v>188</v>
      </c>
      <c r="O10" s="60">
        <v>5</v>
      </c>
      <c r="P10" s="72">
        <v>5000000</v>
      </c>
      <c r="Q10" s="72">
        <f>O10*P10</f>
        <v>25000000</v>
      </c>
      <c r="R10" s="127" t="s">
        <v>157</v>
      </c>
    </row>
    <row r="11" spans="1:18" ht="27.75" customHeight="1" outlineLevel="2">
      <c r="A11" s="98">
        <v>3</v>
      </c>
      <c r="B11" s="99" t="s">
        <v>232</v>
      </c>
      <c r="C11" s="129" t="s">
        <v>142</v>
      </c>
      <c r="D11" s="100">
        <v>5</v>
      </c>
      <c r="E11" s="101">
        <v>800000</v>
      </c>
      <c r="F11" s="100">
        <f t="shared" si="1"/>
        <v>4000000</v>
      </c>
      <c r="G11" s="238"/>
      <c r="H11" s="125" t="s">
        <v>157</v>
      </c>
      <c r="I11" s="124">
        <f t="shared" si="0"/>
        <v>-2000000</v>
      </c>
      <c r="K11" s="126">
        <v>4</v>
      </c>
      <c r="L11" s="58">
        <v>3</v>
      </c>
      <c r="M11" s="59" t="s">
        <v>190</v>
      </c>
      <c r="N11" s="67" t="s">
        <v>142</v>
      </c>
      <c r="O11" s="60">
        <v>3</v>
      </c>
      <c r="P11" s="60">
        <v>2000000</v>
      </c>
      <c r="Q11" s="60">
        <f>O11*P11</f>
        <v>6000000</v>
      </c>
      <c r="R11" s="127" t="s">
        <v>157</v>
      </c>
    </row>
    <row r="12" spans="1:18" ht="27.75" customHeight="1" outlineLevel="2">
      <c r="A12" s="98">
        <v>4</v>
      </c>
      <c r="B12" s="99" t="s">
        <v>162</v>
      </c>
      <c r="C12" s="129" t="s">
        <v>125</v>
      </c>
      <c r="D12" s="100">
        <v>1</v>
      </c>
      <c r="E12" s="101">
        <v>400000</v>
      </c>
      <c r="F12" s="100">
        <f>D12*E12</f>
        <v>400000</v>
      </c>
      <c r="G12" s="238"/>
      <c r="H12" s="125"/>
      <c r="I12" s="124">
        <f t="shared" si="0"/>
        <v>400000</v>
      </c>
      <c r="R12" s="127"/>
    </row>
    <row r="13" spans="1:18" ht="27.75" customHeight="1" outlineLevel="2">
      <c r="A13" s="98">
        <v>5</v>
      </c>
      <c r="B13" s="99" t="s">
        <v>244</v>
      </c>
      <c r="C13" s="129"/>
      <c r="D13" s="100">
        <v>1</v>
      </c>
      <c r="E13" s="101">
        <v>25000000</v>
      </c>
      <c r="F13" s="100">
        <f t="shared" si="1"/>
        <v>25000000</v>
      </c>
      <c r="G13" s="240" t="s">
        <v>228</v>
      </c>
      <c r="H13" s="125"/>
      <c r="I13" s="124">
        <f t="shared" si="0"/>
        <v>10000000</v>
      </c>
      <c r="K13" s="126">
        <v>5</v>
      </c>
      <c r="L13" s="58">
        <v>4</v>
      </c>
      <c r="M13" s="59" t="s">
        <v>138</v>
      </c>
      <c r="N13" s="67" t="s">
        <v>127</v>
      </c>
      <c r="O13" s="60">
        <v>1</v>
      </c>
      <c r="P13" s="60">
        <v>15000000</v>
      </c>
      <c r="Q13" s="60">
        <f>O13*P13</f>
        <v>15000000</v>
      </c>
      <c r="R13" s="127"/>
    </row>
    <row r="14" spans="1:18" ht="27.75" customHeight="1" outlineLevel="2">
      <c r="A14" s="98">
        <v>6</v>
      </c>
      <c r="B14" s="99" t="s">
        <v>245</v>
      </c>
      <c r="C14" s="129" t="s">
        <v>208</v>
      </c>
      <c r="D14" s="100">
        <v>24</v>
      </c>
      <c r="E14" s="101">
        <v>450000</v>
      </c>
      <c r="F14" s="100">
        <f t="shared" si="1"/>
        <v>10800000</v>
      </c>
      <c r="G14" s="240"/>
      <c r="H14" s="125"/>
      <c r="I14" s="124"/>
      <c r="K14" s="74"/>
      <c r="L14" s="58"/>
      <c r="M14" s="59"/>
      <c r="N14" s="60"/>
      <c r="O14" s="60"/>
      <c r="P14" s="60"/>
      <c r="Q14" s="60"/>
      <c r="R14" s="127"/>
    </row>
    <row r="15" spans="1:18" ht="27.75" customHeight="1" outlineLevel="2">
      <c r="A15" s="98">
        <v>7</v>
      </c>
      <c r="B15" s="99" t="s">
        <v>234</v>
      </c>
      <c r="C15" s="129" t="s">
        <v>165</v>
      </c>
      <c r="D15" s="100">
        <v>200</v>
      </c>
      <c r="E15" s="101">
        <v>40000</v>
      </c>
      <c r="F15" s="100">
        <f t="shared" si="1"/>
        <v>8000000</v>
      </c>
      <c r="G15" s="107"/>
      <c r="H15" s="125"/>
      <c r="I15" s="124">
        <f>F15-Q15</f>
        <v>1250000</v>
      </c>
      <c r="K15" s="126">
        <v>6</v>
      </c>
      <c r="L15" s="58">
        <v>5</v>
      </c>
      <c r="M15" s="59" t="s">
        <v>191</v>
      </c>
      <c r="N15" s="67" t="s">
        <v>125</v>
      </c>
      <c r="O15" s="60">
        <v>150</v>
      </c>
      <c r="P15" s="60">
        <v>45000</v>
      </c>
      <c r="Q15" s="60">
        <f>O15*P15</f>
        <v>6750000</v>
      </c>
      <c r="R15" s="127"/>
    </row>
    <row r="16" spans="1:18" ht="27.75" customHeight="1" outlineLevel="2">
      <c r="A16" s="98">
        <v>8</v>
      </c>
      <c r="B16" s="99" t="s">
        <v>237</v>
      </c>
      <c r="C16" s="129" t="s">
        <v>125</v>
      </c>
      <c r="D16" s="100">
        <v>200</v>
      </c>
      <c r="E16" s="100">
        <v>150000</v>
      </c>
      <c r="F16" s="100">
        <f>D16*E16</f>
        <v>30000000</v>
      </c>
      <c r="G16" s="107"/>
      <c r="H16" s="125"/>
      <c r="I16" s="124">
        <f>F16-Q16</f>
        <v>0</v>
      </c>
      <c r="K16" s="126">
        <v>11</v>
      </c>
      <c r="L16" s="58">
        <v>10</v>
      </c>
      <c r="M16" s="59" t="s">
        <v>141</v>
      </c>
      <c r="N16" s="67" t="s">
        <v>125</v>
      </c>
      <c r="O16" s="60">
        <v>150</v>
      </c>
      <c r="P16" s="60">
        <v>200000</v>
      </c>
      <c r="Q16" s="60">
        <f>O16*P16</f>
        <v>30000000</v>
      </c>
      <c r="R16" s="127" t="s">
        <v>157</v>
      </c>
    </row>
    <row r="17" spans="1:18" ht="27.75" customHeight="1" outlineLevel="2">
      <c r="A17" s="98">
        <v>9</v>
      </c>
      <c r="B17" s="99" t="s">
        <v>230</v>
      </c>
      <c r="C17" s="129" t="s">
        <v>125</v>
      </c>
      <c r="D17" s="100">
        <v>30</v>
      </c>
      <c r="E17" s="100">
        <v>150000</v>
      </c>
      <c r="F17" s="100">
        <f>D17*E17</f>
        <v>4500000</v>
      </c>
      <c r="G17" s="107"/>
      <c r="H17" s="125"/>
      <c r="I17" s="124"/>
      <c r="L17" s="58"/>
      <c r="M17" s="59"/>
      <c r="N17" s="67"/>
      <c r="O17" s="60"/>
      <c r="P17" s="60"/>
      <c r="Q17" s="60"/>
      <c r="R17" s="127"/>
    </row>
    <row r="18" spans="1:18" ht="27.75" customHeight="1" outlineLevel="2">
      <c r="A18" s="98">
        <v>10</v>
      </c>
      <c r="B18" s="99" t="s">
        <v>139</v>
      </c>
      <c r="C18" s="129" t="s">
        <v>125</v>
      </c>
      <c r="D18" s="100">
        <v>200</v>
      </c>
      <c r="E18" s="100">
        <v>60000</v>
      </c>
      <c r="F18" s="100">
        <f t="shared" si="1"/>
        <v>12000000</v>
      </c>
      <c r="G18" s="240" t="s">
        <v>240</v>
      </c>
      <c r="H18" s="125"/>
      <c r="I18" s="124">
        <f aca="true" t="shared" si="2" ref="I18:I24">F18-Q18</f>
        <v>3000000</v>
      </c>
      <c r="K18" s="126">
        <v>9</v>
      </c>
      <c r="L18" s="58">
        <v>8</v>
      </c>
      <c r="M18" s="59" t="s">
        <v>139</v>
      </c>
      <c r="N18" s="67" t="s">
        <v>125</v>
      </c>
      <c r="O18" s="60">
        <v>150</v>
      </c>
      <c r="P18" s="60">
        <v>60000</v>
      </c>
      <c r="Q18" s="60">
        <f>O18*P18</f>
        <v>9000000</v>
      </c>
      <c r="R18" s="127"/>
    </row>
    <row r="19" spans="1:18" ht="27.75" customHeight="1" outlineLevel="2">
      <c r="A19" s="98">
        <v>11</v>
      </c>
      <c r="B19" s="99" t="s">
        <v>204</v>
      </c>
      <c r="C19" s="129" t="s">
        <v>125</v>
      </c>
      <c r="D19" s="100">
        <v>200</v>
      </c>
      <c r="E19" s="100">
        <v>40000</v>
      </c>
      <c r="F19" s="100">
        <f>D19*E19</f>
        <v>8000000</v>
      </c>
      <c r="G19" s="240"/>
      <c r="H19" s="125"/>
      <c r="I19" s="124">
        <f t="shared" si="2"/>
        <v>2000000</v>
      </c>
      <c r="K19" s="126">
        <v>10</v>
      </c>
      <c r="L19" s="58">
        <v>9</v>
      </c>
      <c r="M19" s="59" t="s">
        <v>140</v>
      </c>
      <c r="N19" s="67" t="s">
        <v>125</v>
      </c>
      <c r="O19" s="60">
        <v>150</v>
      </c>
      <c r="P19" s="60">
        <v>40000</v>
      </c>
      <c r="Q19" s="60">
        <f>O19*P19</f>
        <v>6000000</v>
      </c>
      <c r="R19" s="127"/>
    </row>
    <row r="20" spans="1:18" ht="27.75" customHeight="1" outlineLevel="2">
      <c r="A20" s="98">
        <v>12</v>
      </c>
      <c r="B20" s="99" t="s">
        <v>167</v>
      </c>
      <c r="C20" s="129" t="s">
        <v>125</v>
      </c>
      <c r="D20" s="100">
        <v>5</v>
      </c>
      <c r="E20" s="100">
        <v>4500000</v>
      </c>
      <c r="F20" s="100">
        <f>D20*E20</f>
        <v>22500000</v>
      </c>
      <c r="G20" s="240"/>
      <c r="H20" s="125"/>
      <c r="I20" s="124">
        <f t="shared" si="2"/>
        <v>-2500000</v>
      </c>
      <c r="K20" s="126">
        <v>7</v>
      </c>
      <c r="L20" s="58">
        <v>6</v>
      </c>
      <c r="M20" s="59" t="s">
        <v>192</v>
      </c>
      <c r="N20" s="67" t="s">
        <v>125</v>
      </c>
      <c r="O20" s="60">
        <v>5</v>
      </c>
      <c r="P20" s="60">
        <v>5000000</v>
      </c>
      <c r="Q20" s="60">
        <f>O20*P20</f>
        <v>25000000</v>
      </c>
      <c r="R20" s="127" t="s">
        <v>157</v>
      </c>
    </row>
    <row r="21" spans="1:18" ht="37.5" customHeight="1" outlineLevel="2">
      <c r="A21" s="98">
        <v>13</v>
      </c>
      <c r="B21" s="99" t="s">
        <v>271</v>
      </c>
      <c r="C21" s="100" t="s">
        <v>184</v>
      </c>
      <c r="D21" s="100">
        <v>20</v>
      </c>
      <c r="E21" s="100">
        <v>900000</v>
      </c>
      <c r="F21" s="100">
        <f>D21*E21</f>
        <v>18000000</v>
      </c>
      <c r="G21" s="240"/>
      <c r="H21" s="125" t="s">
        <v>157</v>
      </c>
      <c r="I21" s="124">
        <f t="shared" si="2"/>
        <v>16800000</v>
      </c>
      <c r="K21" s="126">
        <v>8</v>
      </c>
      <c r="L21" s="58">
        <v>7</v>
      </c>
      <c r="M21" s="59" t="s">
        <v>193</v>
      </c>
      <c r="N21" s="60" t="s">
        <v>145</v>
      </c>
      <c r="O21" s="60">
        <v>10</v>
      </c>
      <c r="P21" s="60">
        <v>120000</v>
      </c>
      <c r="Q21" s="60">
        <f>O21*P21</f>
        <v>1200000</v>
      </c>
      <c r="R21" s="127"/>
    </row>
    <row r="22" spans="1:18" ht="55.5" customHeight="1" outlineLevel="2">
      <c r="A22" s="98">
        <v>14</v>
      </c>
      <c r="B22" s="99" t="s">
        <v>235</v>
      </c>
      <c r="C22" s="100" t="s">
        <v>229</v>
      </c>
      <c r="D22" s="100"/>
      <c r="E22" s="100"/>
      <c r="F22" s="100">
        <v>15000000</v>
      </c>
      <c r="G22" s="240"/>
      <c r="H22" s="125" t="s">
        <v>159</v>
      </c>
      <c r="I22" s="124">
        <f t="shared" si="2"/>
        <v>-5000000</v>
      </c>
      <c r="K22" s="126">
        <v>13</v>
      </c>
      <c r="L22" s="58">
        <v>12</v>
      </c>
      <c r="M22" s="61" t="s">
        <v>195</v>
      </c>
      <c r="N22" s="62" t="s">
        <v>127</v>
      </c>
      <c r="O22" s="62">
        <v>1</v>
      </c>
      <c r="P22" s="62"/>
      <c r="Q22" s="62">
        <v>20000000</v>
      </c>
      <c r="R22" s="127"/>
    </row>
    <row r="23" spans="1:18" ht="27.75" customHeight="1" outlineLevel="1">
      <c r="A23" s="105">
        <v>15</v>
      </c>
      <c r="B23" s="102" t="s">
        <v>231</v>
      </c>
      <c r="C23" s="103"/>
      <c r="D23" s="104"/>
      <c r="E23" s="104"/>
      <c r="F23" s="103">
        <f>ROUND(15%*SUM(F9:F22),-6)</f>
        <v>25000000</v>
      </c>
      <c r="G23" s="241"/>
      <c r="H23" s="125"/>
      <c r="I23" s="124">
        <f t="shared" si="2"/>
        <v>-6250000</v>
      </c>
      <c r="K23" s="126" t="s">
        <v>4</v>
      </c>
      <c r="L23" s="58">
        <v>13</v>
      </c>
      <c r="M23" s="59" t="s">
        <v>135</v>
      </c>
      <c r="N23" s="63"/>
      <c r="O23" s="64"/>
      <c r="P23" s="64"/>
      <c r="Q23" s="60">
        <v>31250000</v>
      </c>
      <c r="R23" s="127" t="s">
        <v>158</v>
      </c>
    </row>
    <row r="24" spans="1:19" ht="36" customHeight="1">
      <c r="A24" s="55" t="s">
        <v>4</v>
      </c>
      <c r="B24" s="76" t="s">
        <v>243</v>
      </c>
      <c r="C24" s="56"/>
      <c r="D24" s="56"/>
      <c r="E24" s="56"/>
      <c r="F24" s="56">
        <f>SUM(F25:F41)</f>
        <v>369000000</v>
      </c>
      <c r="G24" s="56"/>
      <c r="H24" s="125" t="s">
        <v>158</v>
      </c>
      <c r="I24" s="124">
        <f t="shared" si="2"/>
        <v>-11000000</v>
      </c>
      <c r="K24" s="126">
        <v>1</v>
      </c>
      <c r="L24" s="55" t="s">
        <v>4</v>
      </c>
      <c r="M24" s="57" t="s">
        <v>196</v>
      </c>
      <c r="N24" s="56"/>
      <c r="O24" s="56"/>
      <c r="P24" s="56"/>
      <c r="Q24" s="56">
        <f>SUBTOTAL(9,Q25:Q41)</f>
        <v>380000000</v>
      </c>
      <c r="R24" s="127" t="s">
        <v>157</v>
      </c>
      <c r="S24" s="126">
        <v>380000000</v>
      </c>
    </row>
    <row r="25" spans="1:18" ht="28.5" customHeight="1" outlineLevel="2">
      <c r="A25" s="94">
        <v>1</v>
      </c>
      <c r="B25" s="95" t="s">
        <v>161</v>
      </c>
      <c r="C25" s="128" t="s">
        <v>125</v>
      </c>
      <c r="D25" s="96">
        <v>1</v>
      </c>
      <c r="E25" s="96">
        <v>1200000</v>
      </c>
      <c r="F25" s="96">
        <f aca="true" t="shared" si="3" ref="F25:F37">D25*E25</f>
        <v>1200000</v>
      </c>
      <c r="G25" s="237" t="s">
        <v>261</v>
      </c>
      <c r="H25" s="125" t="s">
        <v>157</v>
      </c>
      <c r="I25" s="124">
        <f aca="true" t="shared" si="4" ref="I25:I31">F25-Q25</f>
        <v>-28800000</v>
      </c>
      <c r="K25" s="126">
        <v>2</v>
      </c>
      <c r="L25" s="58">
        <v>1</v>
      </c>
      <c r="M25" s="59" t="s">
        <v>187</v>
      </c>
      <c r="N25" s="67" t="s">
        <v>188</v>
      </c>
      <c r="O25" s="60">
        <v>1</v>
      </c>
      <c r="P25" s="60">
        <v>30000000</v>
      </c>
      <c r="Q25" s="60">
        <f>O25*P25</f>
        <v>30000000</v>
      </c>
      <c r="R25" s="127" t="s">
        <v>157</v>
      </c>
    </row>
    <row r="26" spans="1:18" ht="28.5" customHeight="1" outlineLevel="2">
      <c r="A26" s="98">
        <v>2</v>
      </c>
      <c r="B26" s="99" t="s">
        <v>226</v>
      </c>
      <c r="C26" s="129" t="s">
        <v>142</v>
      </c>
      <c r="D26" s="100">
        <v>10</v>
      </c>
      <c r="E26" s="100">
        <v>1600000</v>
      </c>
      <c r="F26" s="100">
        <f t="shared" si="3"/>
        <v>16000000</v>
      </c>
      <c r="G26" s="238"/>
      <c r="H26" s="125" t="s">
        <v>157</v>
      </c>
      <c r="I26" s="124">
        <f t="shared" si="4"/>
        <v>-9000000</v>
      </c>
      <c r="K26" s="126">
        <v>3</v>
      </c>
      <c r="L26" s="58">
        <v>2</v>
      </c>
      <c r="M26" s="59" t="s">
        <v>189</v>
      </c>
      <c r="N26" s="67" t="s">
        <v>188</v>
      </c>
      <c r="O26" s="60">
        <v>5</v>
      </c>
      <c r="P26" s="60">
        <v>5000000</v>
      </c>
      <c r="Q26" s="60">
        <f>O26*P26</f>
        <v>25000000</v>
      </c>
      <c r="R26" s="127" t="s">
        <v>157</v>
      </c>
    </row>
    <row r="27" spans="1:18" ht="28.5" customHeight="1" outlineLevel="2">
      <c r="A27" s="98">
        <v>3</v>
      </c>
      <c r="B27" s="99" t="s">
        <v>232</v>
      </c>
      <c r="C27" s="129" t="s">
        <v>142</v>
      </c>
      <c r="D27" s="100">
        <v>10</v>
      </c>
      <c r="E27" s="100">
        <v>800000</v>
      </c>
      <c r="F27" s="100">
        <f t="shared" si="3"/>
        <v>8000000</v>
      </c>
      <c r="G27" s="238"/>
      <c r="H27" s="125" t="s">
        <v>157</v>
      </c>
      <c r="I27" s="124">
        <f t="shared" si="4"/>
        <v>-2000000</v>
      </c>
      <c r="K27" s="126">
        <v>4</v>
      </c>
      <c r="L27" s="58">
        <v>3</v>
      </c>
      <c r="M27" s="59" t="s">
        <v>190</v>
      </c>
      <c r="N27" s="67" t="s">
        <v>142</v>
      </c>
      <c r="O27" s="60">
        <v>5</v>
      </c>
      <c r="P27" s="60">
        <v>2000000</v>
      </c>
      <c r="Q27" s="60">
        <f>O27*P27</f>
        <v>10000000</v>
      </c>
      <c r="R27" s="127"/>
    </row>
    <row r="28" spans="1:9" ht="28.5" customHeight="1" outlineLevel="2">
      <c r="A28" s="98">
        <v>4</v>
      </c>
      <c r="B28" s="99" t="s">
        <v>162</v>
      </c>
      <c r="C28" s="129" t="s">
        <v>125</v>
      </c>
      <c r="D28" s="100">
        <v>1</v>
      </c>
      <c r="E28" s="100">
        <v>400000</v>
      </c>
      <c r="F28" s="100">
        <f t="shared" si="3"/>
        <v>400000</v>
      </c>
      <c r="G28" s="238"/>
      <c r="H28" s="125"/>
      <c r="I28" s="124">
        <f t="shared" si="4"/>
        <v>400000</v>
      </c>
    </row>
    <row r="29" spans="1:18" ht="28.5" customHeight="1" outlineLevel="2">
      <c r="A29" s="98">
        <v>5</v>
      </c>
      <c r="B29" s="99" t="s">
        <v>200</v>
      </c>
      <c r="C29" s="129" t="s">
        <v>127</v>
      </c>
      <c r="D29" s="100">
        <v>1</v>
      </c>
      <c r="E29" s="100">
        <v>25000000</v>
      </c>
      <c r="F29" s="100">
        <f t="shared" si="3"/>
        <v>25000000</v>
      </c>
      <c r="G29" s="107"/>
      <c r="H29" s="125"/>
      <c r="I29" s="124">
        <f t="shared" si="4"/>
        <v>5000000</v>
      </c>
      <c r="K29" s="126">
        <v>5</v>
      </c>
      <c r="L29" s="58">
        <v>4</v>
      </c>
      <c r="M29" s="59" t="s">
        <v>138</v>
      </c>
      <c r="N29" s="67" t="s">
        <v>127</v>
      </c>
      <c r="O29" s="60">
        <v>1</v>
      </c>
      <c r="P29" s="60">
        <v>20000000</v>
      </c>
      <c r="Q29" s="60">
        <f>O29*P29</f>
        <v>20000000</v>
      </c>
      <c r="R29" s="127"/>
    </row>
    <row r="30" spans="1:18" ht="28.5" customHeight="1" outlineLevel="2">
      <c r="A30" s="98">
        <v>6</v>
      </c>
      <c r="B30" s="99" t="s">
        <v>234</v>
      </c>
      <c r="C30" s="129" t="s">
        <v>165</v>
      </c>
      <c r="D30" s="100">
        <v>300</v>
      </c>
      <c r="E30" s="100">
        <v>40000</v>
      </c>
      <c r="F30" s="100">
        <f t="shared" si="3"/>
        <v>12000000</v>
      </c>
      <c r="G30" s="107"/>
      <c r="H30" s="125"/>
      <c r="I30" s="124">
        <f t="shared" si="4"/>
        <v>-1500000</v>
      </c>
      <c r="K30" s="126">
        <v>6</v>
      </c>
      <c r="L30" s="58">
        <v>5</v>
      </c>
      <c r="M30" s="59" t="s">
        <v>191</v>
      </c>
      <c r="N30" s="67" t="s">
        <v>125</v>
      </c>
      <c r="O30" s="60">
        <v>300</v>
      </c>
      <c r="P30" s="60">
        <v>45000</v>
      </c>
      <c r="Q30" s="60">
        <f>O30*P30</f>
        <v>13500000</v>
      </c>
      <c r="R30" s="127"/>
    </row>
    <row r="31" spans="1:18" ht="28.5" customHeight="1" outlineLevel="2">
      <c r="A31" s="98">
        <v>7</v>
      </c>
      <c r="B31" s="99" t="s">
        <v>237</v>
      </c>
      <c r="C31" s="129" t="s">
        <v>125</v>
      </c>
      <c r="D31" s="100">
        <v>300</v>
      </c>
      <c r="E31" s="100">
        <v>150000</v>
      </c>
      <c r="F31" s="100">
        <f>D31*E31</f>
        <v>45000000</v>
      </c>
      <c r="G31" s="107"/>
      <c r="H31" s="125" t="s">
        <v>157</v>
      </c>
      <c r="I31" s="124">
        <f t="shared" si="4"/>
        <v>-15000000</v>
      </c>
      <c r="K31" s="126">
        <v>11</v>
      </c>
      <c r="L31" s="58">
        <v>10</v>
      </c>
      <c r="M31" s="59" t="s">
        <v>141</v>
      </c>
      <c r="N31" s="67" t="s">
        <v>125</v>
      </c>
      <c r="O31" s="60">
        <v>300</v>
      </c>
      <c r="P31" s="60">
        <v>200000</v>
      </c>
      <c r="Q31" s="60">
        <f>O31*P31</f>
        <v>60000000</v>
      </c>
      <c r="R31" s="127" t="s">
        <v>157</v>
      </c>
    </row>
    <row r="32" spans="1:18" ht="28.5" customHeight="1" outlineLevel="2">
      <c r="A32" s="98">
        <v>8</v>
      </c>
      <c r="B32" s="99" t="s">
        <v>230</v>
      </c>
      <c r="C32" s="129" t="s">
        <v>125</v>
      </c>
      <c r="D32" s="100">
        <v>40</v>
      </c>
      <c r="E32" s="100">
        <v>150000</v>
      </c>
      <c r="F32" s="100">
        <f>D32*E32</f>
        <v>6000000</v>
      </c>
      <c r="G32" s="107"/>
      <c r="H32" s="125"/>
      <c r="I32" s="124">
        <f>F32-Q32</f>
        <v>-4000000</v>
      </c>
      <c r="K32" s="126">
        <v>12</v>
      </c>
      <c r="L32" s="58">
        <v>11</v>
      </c>
      <c r="M32" s="59" t="s">
        <v>194</v>
      </c>
      <c r="N32" s="67" t="s">
        <v>125</v>
      </c>
      <c r="O32" s="60">
        <v>50</v>
      </c>
      <c r="P32" s="60">
        <v>200000</v>
      </c>
      <c r="Q32" s="60">
        <f>O32*P32</f>
        <v>10000000</v>
      </c>
      <c r="R32" s="127" t="s">
        <v>159</v>
      </c>
    </row>
    <row r="33" spans="1:18" ht="28.5" customHeight="1" outlineLevel="2">
      <c r="A33" s="98">
        <v>9</v>
      </c>
      <c r="B33" s="99" t="s">
        <v>246</v>
      </c>
      <c r="C33" s="129" t="s">
        <v>206</v>
      </c>
      <c r="D33" s="100">
        <v>24</v>
      </c>
      <c r="E33" s="100">
        <v>1600000</v>
      </c>
      <c r="F33" s="100">
        <f t="shared" si="3"/>
        <v>38400000</v>
      </c>
      <c r="G33" s="231" t="s">
        <v>240</v>
      </c>
      <c r="H33" s="125"/>
      <c r="I33" s="124"/>
      <c r="K33" s="59"/>
      <c r="L33" s="58"/>
      <c r="M33" s="59"/>
      <c r="N33" s="60"/>
      <c r="O33" s="60"/>
      <c r="P33" s="60"/>
      <c r="Q33" s="60"/>
      <c r="R33" s="127"/>
    </row>
    <row r="34" spans="1:18" ht="28.5" customHeight="1" outlineLevel="2">
      <c r="A34" s="98">
        <v>10</v>
      </c>
      <c r="B34" s="99" t="s">
        <v>245</v>
      </c>
      <c r="C34" s="129" t="s">
        <v>208</v>
      </c>
      <c r="D34" s="100">
        <v>50</v>
      </c>
      <c r="E34" s="100">
        <v>450000</v>
      </c>
      <c r="F34" s="100">
        <f t="shared" si="3"/>
        <v>22500000</v>
      </c>
      <c r="G34" s="232"/>
      <c r="H34" s="125"/>
      <c r="I34" s="124"/>
      <c r="K34" s="74"/>
      <c r="L34" s="58"/>
      <c r="M34" s="59"/>
      <c r="N34" s="60"/>
      <c r="O34" s="60"/>
      <c r="P34" s="60"/>
      <c r="Q34" s="60"/>
      <c r="R34" s="127"/>
    </row>
    <row r="35" spans="1:18" ht="28.5" customHeight="1" outlineLevel="2">
      <c r="A35" s="98">
        <v>11</v>
      </c>
      <c r="B35" s="99" t="s">
        <v>247</v>
      </c>
      <c r="C35" s="129" t="s">
        <v>202</v>
      </c>
      <c r="D35" s="100">
        <v>1</v>
      </c>
      <c r="E35" s="100">
        <v>5000000</v>
      </c>
      <c r="F35" s="100">
        <f t="shared" si="3"/>
        <v>5000000</v>
      </c>
      <c r="G35" s="232"/>
      <c r="H35" s="125"/>
      <c r="I35" s="124"/>
      <c r="K35" s="74"/>
      <c r="L35" s="58"/>
      <c r="M35" s="59"/>
      <c r="N35" s="60"/>
      <c r="O35" s="60"/>
      <c r="P35" s="60"/>
      <c r="Q35" s="60"/>
      <c r="R35" s="127"/>
    </row>
    <row r="36" spans="1:18" ht="28.5" customHeight="1" outlineLevel="2">
      <c r="A36" s="98">
        <v>12</v>
      </c>
      <c r="B36" s="99" t="s">
        <v>248</v>
      </c>
      <c r="C36" s="129" t="s">
        <v>125</v>
      </c>
      <c r="D36" s="100">
        <v>300</v>
      </c>
      <c r="E36" s="100">
        <v>60000</v>
      </c>
      <c r="F36" s="100">
        <f t="shared" si="3"/>
        <v>18000000</v>
      </c>
      <c r="G36" s="232"/>
      <c r="H36" s="125"/>
      <c r="I36" s="124">
        <f aca="true" t="shared" si="5" ref="I36:I42">F36-Q36</f>
        <v>0</v>
      </c>
      <c r="K36" s="126">
        <v>9</v>
      </c>
      <c r="L36" s="58">
        <v>8</v>
      </c>
      <c r="M36" s="59" t="s">
        <v>139</v>
      </c>
      <c r="N36" s="67" t="s">
        <v>125</v>
      </c>
      <c r="O36" s="60">
        <v>300</v>
      </c>
      <c r="P36" s="60">
        <v>60000</v>
      </c>
      <c r="Q36" s="60">
        <f>O36*P36</f>
        <v>18000000</v>
      </c>
      <c r="R36" s="127"/>
    </row>
    <row r="37" spans="1:18" ht="28.5" customHeight="1" outlineLevel="2">
      <c r="A37" s="98">
        <v>13</v>
      </c>
      <c r="B37" s="99" t="s">
        <v>249</v>
      </c>
      <c r="C37" s="129" t="s">
        <v>125</v>
      </c>
      <c r="D37" s="100">
        <v>300</v>
      </c>
      <c r="E37" s="100">
        <v>40000</v>
      </c>
      <c r="F37" s="100">
        <f t="shared" si="3"/>
        <v>12000000</v>
      </c>
      <c r="G37" s="232"/>
      <c r="H37" s="125"/>
      <c r="I37" s="124">
        <f t="shared" si="5"/>
        <v>0</v>
      </c>
      <c r="K37" s="126">
        <v>10</v>
      </c>
      <c r="L37" s="58">
        <v>9</v>
      </c>
      <c r="M37" s="59" t="s">
        <v>140</v>
      </c>
      <c r="N37" s="67" t="s">
        <v>125</v>
      </c>
      <c r="O37" s="60">
        <v>300</v>
      </c>
      <c r="P37" s="60">
        <v>40000</v>
      </c>
      <c r="Q37" s="60">
        <f>O37*P37</f>
        <v>12000000</v>
      </c>
      <c r="R37" s="127"/>
    </row>
    <row r="38" spans="1:18" ht="28.5" customHeight="1" outlineLevel="2">
      <c r="A38" s="98">
        <v>14</v>
      </c>
      <c r="B38" s="99" t="s">
        <v>167</v>
      </c>
      <c r="C38" s="129" t="s">
        <v>125</v>
      </c>
      <c r="D38" s="100">
        <v>15</v>
      </c>
      <c r="E38" s="100">
        <v>4500000</v>
      </c>
      <c r="F38" s="100">
        <f>D38*E38</f>
        <v>67500000</v>
      </c>
      <c r="G38" s="232"/>
      <c r="H38" s="125" t="s">
        <v>157</v>
      </c>
      <c r="I38" s="124">
        <f t="shared" si="5"/>
        <v>-7500000</v>
      </c>
      <c r="K38" s="126">
        <v>7</v>
      </c>
      <c r="L38" s="58">
        <v>6</v>
      </c>
      <c r="M38" s="59" t="s">
        <v>192</v>
      </c>
      <c r="N38" s="67" t="s">
        <v>125</v>
      </c>
      <c r="O38" s="60">
        <v>15</v>
      </c>
      <c r="P38" s="60">
        <v>5000000</v>
      </c>
      <c r="Q38" s="60">
        <f>O38*P38</f>
        <v>75000000</v>
      </c>
      <c r="R38" s="127" t="s">
        <v>157</v>
      </c>
    </row>
    <row r="39" spans="1:18" ht="39.75" customHeight="1" outlineLevel="2">
      <c r="A39" s="98">
        <v>15</v>
      </c>
      <c r="B39" s="99" t="s">
        <v>271</v>
      </c>
      <c r="C39" s="100" t="s">
        <v>197</v>
      </c>
      <c r="D39" s="100">
        <v>30</v>
      </c>
      <c r="E39" s="100">
        <v>900000</v>
      </c>
      <c r="F39" s="100">
        <f>D39*E39</f>
        <v>27000000</v>
      </c>
      <c r="G39" s="232"/>
      <c r="H39" s="125"/>
      <c r="I39" s="124">
        <f t="shared" si="5"/>
        <v>-9000000</v>
      </c>
      <c r="K39" s="126">
        <v>8</v>
      </c>
      <c r="L39" s="58">
        <v>7</v>
      </c>
      <c r="M39" s="59" t="s">
        <v>193</v>
      </c>
      <c r="N39" s="60" t="s">
        <v>197</v>
      </c>
      <c r="O39" s="60">
        <v>30</v>
      </c>
      <c r="P39" s="60">
        <v>1200000</v>
      </c>
      <c r="Q39" s="60">
        <f>O39*P39</f>
        <v>36000000</v>
      </c>
      <c r="R39" s="127"/>
    </row>
    <row r="40" spans="1:18" ht="55.5" customHeight="1" outlineLevel="2">
      <c r="A40" s="98">
        <v>16</v>
      </c>
      <c r="B40" s="99" t="s">
        <v>250</v>
      </c>
      <c r="C40" s="100" t="s">
        <v>127</v>
      </c>
      <c r="D40" s="100">
        <v>1</v>
      </c>
      <c r="E40" s="100"/>
      <c r="F40" s="100">
        <v>15000000</v>
      </c>
      <c r="G40" s="232"/>
      <c r="H40" s="125" t="s">
        <v>159</v>
      </c>
      <c r="I40" s="124">
        <f t="shared" si="5"/>
        <v>-15000000</v>
      </c>
      <c r="K40" s="126">
        <v>13</v>
      </c>
      <c r="L40" s="58">
        <v>12</v>
      </c>
      <c r="M40" s="61" t="s">
        <v>195</v>
      </c>
      <c r="N40" s="62" t="s">
        <v>127</v>
      </c>
      <c r="O40" s="62">
        <v>1</v>
      </c>
      <c r="P40" s="62"/>
      <c r="Q40" s="62">
        <v>30000000</v>
      </c>
      <c r="R40" s="127"/>
    </row>
    <row r="41" spans="1:18" ht="30" customHeight="1" outlineLevel="1">
      <c r="A41" s="105">
        <v>17</v>
      </c>
      <c r="B41" s="102" t="s">
        <v>210</v>
      </c>
      <c r="C41" s="103"/>
      <c r="D41" s="104"/>
      <c r="E41" s="104"/>
      <c r="F41" s="103">
        <v>50000000</v>
      </c>
      <c r="G41" s="233"/>
      <c r="H41" s="125"/>
      <c r="I41" s="124">
        <f t="shared" si="5"/>
        <v>9500000</v>
      </c>
      <c r="K41" s="126" t="s">
        <v>5</v>
      </c>
      <c r="L41" s="58">
        <v>13</v>
      </c>
      <c r="M41" s="59" t="s">
        <v>135</v>
      </c>
      <c r="N41" s="63"/>
      <c r="O41" s="64"/>
      <c r="P41" s="64"/>
      <c r="Q41" s="60">
        <v>40500000</v>
      </c>
      <c r="R41" s="127"/>
    </row>
    <row r="42" spans="1:19" ht="31.5">
      <c r="A42" s="55" t="s">
        <v>5</v>
      </c>
      <c r="B42" s="57" t="s">
        <v>259</v>
      </c>
      <c r="C42" s="56"/>
      <c r="D42" s="56"/>
      <c r="E42" s="56"/>
      <c r="F42" s="56">
        <f>F43+F48</f>
        <v>734900000</v>
      </c>
      <c r="G42" s="56"/>
      <c r="H42" s="125"/>
      <c r="I42" s="124">
        <f t="shared" si="5"/>
        <v>-425100000</v>
      </c>
      <c r="K42" s="126">
        <v>1</v>
      </c>
      <c r="L42" s="55" t="s">
        <v>5</v>
      </c>
      <c r="M42" s="57" t="s">
        <v>198</v>
      </c>
      <c r="N42" s="56"/>
      <c r="O42" s="56"/>
      <c r="P42" s="56"/>
      <c r="Q42" s="56">
        <f>SUBTOTAL(9,Q43:Q69)</f>
        <v>1160000000</v>
      </c>
      <c r="R42" s="127"/>
      <c r="S42" s="126">
        <v>1400000000</v>
      </c>
    </row>
    <row r="43" spans="1:18" ht="30" customHeight="1" outlineLevel="1">
      <c r="A43" s="55" t="s">
        <v>9</v>
      </c>
      <c r="B43" s="57" t="s">
        <v>211</v>
      </c>
      <c r="C43" s="56"/>
      <c r="D43" s="56"/>
      <c r="E43" s="56"/>
      <c r="F43" s="56">
        <f>SUM(F44:F47)</f>
        <v>44900000</v>
      </c>
      <c r="G43" s="56"/>
      <c r="H43" s="125"/>
      <c r="I43" s="124"/>
      <c r="L43" s="55"/>
      <c r="M43" s="57"/>
      <c r="N43" s="56"/>
      <c r="O43" s="56"/>
      <c r="P43" s="56"/>
      <c r="Q43" s="56"/>
      <c r="R43" s="127"/>
    </row>
    <row r="44" spans="1:18" ht="30" customHeight="1" outlineLevel="2">
      <c r="A44" s="94">
        <v>1</v>
      </c>
      <c r="B44" s="95" t="s">
        <v>251</v>
      </c>
      <c r="C44" s="96" t="s">
        <v>127</v>
      </c>
      <c r="D44" s="96">
        <v>1</v>
      </c>
      <c r="E44" s="96">
        <v>15000000</v>
      </c>
      <c r="F44" s="96">
        <f>E44*D44</f>
        <v>15000000</v>
      </c>
      <c r="G44" s="131"/>
      <c r="H44" s="125"/>
      <c r="I44" s="124">
        <f>F44-Q44</f>
        <v>15000000</v>
      </c>
      <c r="K44" s="59" t="s">
        <v>200</v>
      </c>
      <c r="L44" s="58"/>
      <c r="M44" s="59"/>
      <c r="N44" s="60"/>
      <c r="O44" s="60"/>
      <c r="P44" s="60"/>
      <c r="Q44" s="60"/>
      <c r="R44" s="127"/>
    </row>
    <row r="45" spans="1:18" ht="30" customHeight="1" outlineLevel="2">
      <c r="A45" s="98">
        <v>2</v>
      </c>
      <c r="B45" s="99" t="s">
        <v>236</v>
      </c>
      <c r="C45" s="100" t="s">
        <v>165</v>
      </c>
      <c r="D45" s="100">
        <v>70</v>
      </c>
      <c r="E45" s="100">
        <v>20000</v>
      </c>
      <c r="F45" s="100">
        <f>E45*D45</f>
        <v>1400000</v>
      </c>
      <c r="G45" s="130"/>
      <c r="H45" s="125"/>
      <c r="I45" s="124"/>
      <c r="K45" s="59"/>
      <c r="L45" s="75"/>
      <c r="M45" s="74"/>
      <c r="N45" s="73"/>
      <c r="O45" s="73"/>
      <c r="P45" s="73"/>
      <c r="Q45" s="73"/>
      <c r="R45" s="127"/>
    </row>
    <row r="46" spans="1:18" ht="30" customHeight="1" outlineLevel="2">
      <c r="A46" s="98">
        <v>3</v>
      </c>
      <c r="B46" s="99" t="s">
        <v>230</v>
      </c>
      <c r="C46" s="100" t="s">
        <v>121</v>
      </c>
      <c r="D46" s="100">
        <v>40</v>
      </c>
      <c r="E46" s="100">
        <v>150000</v>
      </c>
      <c r="F46" s="100">
        <f>E46*D46</f>
        <v>6000000</v>
      </c>
      <c r="G46" s="130"/>
      <c r="H46" s="125"/>
      <c r="I46" s="124"/>
      <c r="K46" s="59"/>
      <c r="L46" s="75"/>
      <c r="M46" s="74"/>
      <c r="N46" s="73"/>
      <c r="O46" s="73"/>
      <c r="P46" s="73"/>
      <c r="Q46" s="73"/>
      <c r="R46" s="127"/>
    </row>
    <row r="47" spans="1:18" ht="30" customHeight="1" outlineLevel="2">
      <c r="A47" s="105">
        <v>4</v>
      </c>
      <c r="B47" s="102" t="s">
        <v>252</v>
      </c>
      <c r="C47" s="103" t="s">
        <v>208</v>
      </c>
      <c r="D47" s="103">
        <v>50</v>
      </c>
      <c r="E47" s="103">
        <v>450000</v>
      </c>
      <c r="F47" s="103">
        <f>D47*E47</f>
        <v>22500000</v>
      </c>
      <c r="G47" s="153"/>
      <c r="H47" s="125"/>
      <c r="I47" s="124"/>
      <c r="K47" s="59" t="s">
        <v>209</v>
      </c>
      <c r="L47" s="58"/>
      <c r="M47" s="59"/>
      <c r="N47" s="60"/>
      <c r="O47" s="60"/>
      <c r="P47" s="60"/>
      <c r="Q47" s="60"/>
      <c r="R47" s="127"/>
    </row>
    <row r="48" spans="1:18" ht="30" customHeight="1" outlineLevel="1">
      <c r="A48" s="55" t="s">
        <v>10</v>
      </c>
      <c r="B48" s="57" t="s">
        <v>238</v>
      </c>
      <c r="C48" s="56"/>
      <c r="D48" s="56"/>
      <c r="E48" s="56"/>
      <c r="F48" s="56">
        <f>SUM(F49:F66)</f>
        <v>690000000</v>
      </c>
      <c r="G48" s="56"/>
      <c r="H48" s="125"/>
      <c r="I48" s="124"/>
      <c r="L48" s="55"/>
      <c r="M48" s="57"/>
      <c r="N48" s="56"/>
      <c r="O48" s="56"/>
      <c r="P48" s="56"/>
      <c r="Q48" s="56"/>
      <c r="R48" s="127"/>
    </row>
    <row r="49" spans="1:18" ht="30" customHeight="1" outlineLevel="2">
      <c r="A49" s="94">
        <v>1</v>
      </c>
      <c r="B49" s="95" t="s">
        <v>161</v>
      </c>
      <c r="C49" s="128" t="s">
        <v>125</v>
      </c>
      <c r="D49" s="96">
        <v>1</v>
      </c>
      <c r="E49" s="96">
        <v>1200000</v>
      </c>
      <c r="F49" s="96">
        <f>D49*E49</f>
        <v>1200000</v>
      </c>
      <c r="G49" s="237" t="s">
        <v>261</v>
      </c>
      <c r="H49" s="125"/>
      <c r="I49" s="124">
        <f aca="true" t="shared" si="6" ref="I49:I56">F49-Q49</f>
        <v>1200000</v>
      </c>
      <c r="K49" s="59" t="s">
        <v>161</v>
      </c>
      <c r="L49" s="58"/>
      <c r="M49" s="59"/>
      <c r="N49" s="60"/>
      <c r="O49" s="60"/>
      <c r="P49" s="60"/>
      <c r="Q49" s="60"/>
      <c r="R49" s="127"/>
    </row>
    <row r="50" spans="1:18" ht="30" customHeight="1" outlineLevel="2">
      <c r="A50" s="98">
        <v>2</v>
      </c>
      <c r="B50" s="99" t="s">
        <v>163</v>
      </c>
      <c r="C50" s="129" t="s">
        <v>142</v>
      </c>
      <c r="D50" s="100">
        <v>10</v>
      </c>
      <c r="E50" s="100">
        <v>1600000</v>
      </c>
      <c r="F50" s="100">
        <f>D50*E50</f>
        <v>16000000</v>
      </c>
      <c r="G50" s="238"/>
      <c r="H50" s="125"/>
      <c r="I50" s="124">
        <f t="shared" si="6"/>
        <v>16000000</v>
      </c>
      <c r="K50" s="59" t="s">
        <v>163</v>
      </c>
      <c r="L50" s="58"/>
      <c r="M50" s="59"/>
      <c r="N50" s="60"/>
      <c r="O50" s="60"/>
      <c r="P50" s="60"/>
      <c r="Q50" s="60"/>
      <c r="R50" s="127"/>
    </row>
    <row r="51" spans="1:18" ht="30" customHeight="1" outlineLevel="2">
      <c r="A51" s="98">
        <v>3</v>
      </c>
      <c r="B51" s="99" t="s">
        <v>232</v>
      </c>
      <c r="C51" s="129" t="s">
        <v>142</v>
      </c>
      <c r="D51" s="100">
        <v>15</v>
      </c>
      <c r="E51" s="100">
        <v>800000</v>
      </c>
      <c r="F51" s="100">
        <f>D51*E51</f>
        <v>12000000</v>
      </c>
      <c r="G51" s="238"/>
      <c r="H51" s="125"/>
      <c r="I51" s="124">
        <f t="shared" si="6"/>
        <v>12000000</v>
      </c>
      <c r="K51" s="59" t="s">
        <v>164</v>
      </c>
      <c r="L51" s="58"/>
      <c r="M51" s="59"/>
      <c r="N51" s="60"/>
      <c r="O51" s="60"/>
      <c r="P51" s="60"/>
      <c r="Q51" s="60"/>
      <c r="R51" s="127"/>
    </row>
    <row r="52" spans="1:18" ht="30" customHeight="1" outlineLevel="2">
      <c r="A52" s="98">
        <v>4</v>
      </c>
      <c r="B52" s="99" t="s">
        <v>162</v>
      </c>
      <c r="C52" s="129" t="s">
        <v>125</v>
      </c>
      <c r="D52" s="100">
        <v>1</v>
      </c>
      <c r="E52" s="100">
        <v>400000</v>
      </c>
      <c r="F52" s="100">
        <f>D52*E52</f>
        <v>400000</v>
      </c>
      <c r="G52" s="238"/>
      <c r="H52" s="125"/>
      <c r="I52" s="124">
        <f t="shared" si="6"/>
        <v>400000</v>
      </c>
      <c r="K52" s="59" t="s">
        <v>162</v>
      </c>
      <c r="R52" s="127"/>
    </row>
    <row r="53" spans="1:18" ht="30" customHeight="1" outlineLevel="2">
      <c r="A53" s="98">
        <v>5</v>
      </c>
      <c r="B53" s="99" t="s">
        <v>253</v>
      </c>
      <c r="C53" s="100" t="s">
        <v>127</v>
      </c>
      <c r="D53" s="100">
        <v>1</v>
      </c>
      <c r="E53" s="100">
        <v>50000000</v>
      </c>
      <c r="F53" s="100">
        <f>E53*D53</f>
        <v>50000000</v>
      </c>
      <c r="H53" s="125"/>
      <c r="I53" s="124">
        <f t="shared" si="6"/>
        <v>0</v>
      </c>
      <c r="K53" s="59" t="s">
        <v>200</v>
      </c>
      <c r="L53" s="58">
        <v>8</v>
      </c>
      <c r="M53" s="59" t="s">
        <v>126</v>
      </c>
      <c r="N53" s="60" t="s">
        <v>127</v>
      </c>
      <c r="O53" s="60">
        <v>1</v>
      </c>
      <c r="P53" s="60">
        <v>50000000</v>
      </c>
      <c r="Q53" s="60">
        <f>P53*O53</f>
        <v>50000000</v>
      </c>
      <c r="R53" s="127"/>
    </row>
    <row r="54" spans="1:18" ht="30" customHeight="1" outlineLevel="2">
      <c r="A54" s="98">
        <v>6</v>
      </c>
      <c r="B54" s="99" t="s">
        <v>254</v>
      </c>
      <c r="C54" s="100" t="s">
        <v>165</v>
      </c>
      <c r="D54" s="100">
        <v>500</v>
      </c>
      <c r="E54" s="100">
        <v>40000</v>
      </c>
      <c r="F54" s="100">
        <f>E54*D54</f>
        <v>20000000</v>
      </c>
      <c r="G54" s="130"/>
      <c r="H54" s="125"/>
      <c r="I54" s="124">
        <f t="shared" si="6"/>
        <v>2000000</v>
      </c>
      <c r="K54" s="59" t="s">
        <v>204</v>
      </c>
      <c r="L54" s="58">
        <v>7</v>
      </c>
      <c r="M54" s="59" t="s">
        <v>124</v>
      </c>
      <c r="N54" s="60" t="s">
        <v>125</v>
      </c>
      <c r="O54" s="60">
        <v>300</v>
      </c>
      <c r="P54" s="60">
        <v>60000</v>
      </c>
      <c r="Q54" s="60">
        <f>P54*O54</f>
        <v>18000000</v>
      </c>
      <c r="R54" s="127"/>
    </row>
    <row r="55" spans="1:18" ht="30" customHeight="1" outlineLevel="2">
      <c r="A55" s="98">
        <v>7</v>
      </c>
      <c r="B55" s="99" t="s">
        <v>237</v>
      </c>
      <c r="C55" s="100" t="s">
        <v>239</v>
      </c>
      <c r="D55" s="100">
        <v>500</v>
      </c>
      <c r="E55" s="100">
        <v>200000</v>
      </c>
      <c r="F55" s="100">
        <f>E55*D55</f>
        <v>100000000</v>
      </c>
      <c r="G55" s="130"/>
      <c r="H55" s="125"/>
      <c r="I55" s="124">
        <f t="shared" si="6"/>
        <v>-50000000</v>
      </c>
      <c r="K55" s="59" t="s">
        <v>139</v>
      </c>
      <c r="L55" s="58">
        <v>6</v>
      </c>
      <c r="M55" s="59" t="s">
        <v>122</v>
      </c>
      <c r="N55" s="60" t="s">
        <v>123</v>
      </c>
      <c r="O55" s="60">
        <v>300</v>
      </c>
      <c r="P55" s="60">
        <v>500000</v>
      </c>
      <c r="Q55" s="60">
        <f>P55*O55</f>
        <v>150000000</v>
      </c>
      <c r="R55" s="127"/>
    </row>
    <row r="56" spans="1:18" ht="36" customHeight="1" outlineLevel="2">
      <c r="A56" s="98">
        <v>8</v>
      </c>
      <c r="B56" s="99" t="s">
        <v>255</v>
      </c>
      <c r="C56" s="100" t="s">
        <v>127</v>
      </c>
      <c r="D56" s="100">
        <v>1</v>
      </c>
      <c r="E56" s="100"/>
      <c r="F56" s="100">
        <v>50000000</v>
      </c>
      <c r="G56" s="130"/>
      <c r="H56" s="125"/>
      <c r="I56" s="124">
        <f t="shared" si="6"/>
        <v>0</v>
      </c>
      <c r="K56" s="59" t="s">
        <v>205</v>
      </c>
      <c r="L56" s="58">
        <v>9</v>
      </c>
      <c r="M56" s="59" t="s">
        <v>128</v>
      </c>
      <c r="N56" s="60" t="s">
        <v>127</v>
      </c>
      <c r="O56" s="60">
        <v>1</v>
      </c>
      <c r="P56" s="60"/>
      <c r="Q56" s="60">
        <v>50000000</v>
      </c>
      <c r="R56" s="127"/>
    </row>
    <row r="57" spans="1:18" ht="30" customHeight="1" outlineLevel="2">
      <c r="A57" s="98">
        <v>9</v>
      </c>
      <c r="B57" s="99" t="s">
        <v>205</v>
      </c>
      <c r="C57" s="100" t="s">
        <v>206</v>
      </c>
      <c r="D57" s="100">
        <v>24</v>
      </c>
      <c r="E57" s="100">
        <v>1600000</v>
      </c>
      <c r="F57" s="100">
        <f>E57*D57</f>
        <v>38400000</v>
      </c>
      <c r="G57" s="234" t="s">
        <v>240</v>
      </c>
      <c r="H57" s="125"/>
      <c r="I57" s="124"/>
      <c r="K57" s="59" t="s">
        <v>207</v>
      </c>
      <c r="L57" s="58"/>
      <c r="M57" s="59"/>
      <c r="N57" s="60"/>
      <c r="O57" s="60"/>
      <c r="P57" s="60"/>
      <c r="Q57" s="60"/>
      <c r="R57" s="127"/>
    </row>
    <row r="58" spans="1:18" ht="30" customHeight="1" outlineLevel="2">
      <c r="A58" s="98">
        <v>10</v>
      </c>
      <c r="B58" s="99" t="s">
        <v>245</v>
      </c>
      <c r="C58" s="100" t="s">
        <v>208</v>
      </c>
      <c r="D58" s="100">
        <v>60</v>
      </c>
      <c r="E58" s="100">
        <v>450000</v>
      </c>
      <c r="F58" s="100">
        <f>D58*E58</f>
        <v>27000000</v>
      </c>
      <c r="G58" s="235"/>
      <c r="H58" s="125"/>
      <c r="I58" s="124"/>
      <c r="K58" s="59" t="s">
        <v>209</v>
      </c>
      <c r="L58" s="58"/>
      <c r="M58" s="59"/>
      <c r="N58" s="60"/>
      <c r="O58" s="60"/>
      <c r="P58" s="60"/>
      <c r="Q58" s="60"/>
      <c r="R58" s="127"/>
    </row>
    <row r="59" spans="1:18" ht="30" customHeight="1" outlineLevel="2">
      <c r="A59" s="98">
        <v>11</v>
      </c>
      <c r="B59" s="99" t="s">
        <v>247</v>
      </c>
      <c r="C59" s="100" t="s">
        <v>202</v>
      </c>
      <c r="D59" s="100">
        <v>1</v>
      </c>
      <c r="E59" s="100">
        <v>5000000</v>
      </c>
      <c r="F59" s="100">
        <f>D59*E59</f>
        <v>5000000</v>
      </c>
      <c r="G59" s="235"/>
      <c r="H59" s="125"/>
      <c r="I59" s="124"/>
      <c r="K59" s="59" t="s">
        <v>166</v>
      </c>
      <c r="L59" s="58"/>
      <c r="M59" s="59"/>
      <c r="N59" s="60"/>
      <c r="O59" s="60"/>
      <c r="P59" s="60"/>
      <c r="Q59" s="60"/>
      <c r="R59" s="127"/>
    </row>
    <row r="60" spans="1:18" ht="30" customHeight="1" outlineLevel="2">
      <c r="A60" s="98">
        <v>13</v>
      </c>
      <c r="B60" s="99" t="s">
        <v>131</v>
      </c>
      <c r="C60" s="100" t="s">
        <v>132</v>
      </c>
      <c r="D60" s="100">
        <v>500</v>
      </c>
      <c r="E60" s="100">
        <v>50000</v>
      </c>
      <c r="F60" s="100">
        <f>E60*D60</f>
        <v>25000000</v>
      </c>
      <c r="G60" s="235"/>
      <c r="H60" s="125"/>
      <c r="I60" s="124">
        <f aca="true" t="shared" si="7" ref="I60:I65">F60-Q60</f>
        <v>-5000000</v>
      </c>
      <c r="K60" s="59" t="s">
        <v>168</v>
      </c>
      <c r="L60" s="58">
        <v>11</v>
      </c>
      <c r="M60" s="59" t="s">
        <v>131</v>
      </c>
      <c r="N60" s="60" t="s">
        <v>132</v>
      </c>
      <c r="O60" s="60">
        <v>300</v>
      </c>
      <c r="P60" s="60">
        <v>100000</v>
      </c>
      <c r="Q60" s="60">
        <f>O60*P60</f>
        <v>30000000</v>
      </c>
      <c r="R60" s="127"/>
    </row>
    <row r="61" spans="1:18" ht="30" customHeight="1" outlineLevel="2">
      <c r="A61" s="98">
        <v>14</v>
      </c>
      <c r="B61" s="99" t="s">
        <v>230</v>
      </c>
      <c r="C61" s="100" t="s">
        <v>121</v>
      </c>
      <c r="D61" s="100">
        <v>50</v>
      </c>
      <c r="E61" s="100">
        <v>200000</v>
      </c>
      <c r="F61" s="100">
        <f>E61*D61</f>
        <v>10000000</v>
      </c>
      <c r="G61" s="235"/>
      <c r="H61" s="125"/>
      <c r="I61" s="124">
        <f t="shared" si="7"/>
        <v>0</v>
      </c>
      <c r="K61" s="59">
        <v>15</v>
      </c>
      <c r="L61" s="58">
        <v>14</v>
      </c>
      <c r="M61" s="59" t="s">
        <v>133</v>
      </c>
      <c r="N61" s="60" t="s">
        <v>121</v>
      </c>
      <c r="O61" s="60">
        <v>50</v>
      </c>
      <c r="P61" s="60">
        <v>200000</v>
      </c>
      <c r="Q61" s="60">
        <f>P61*O61</f>
        <v>10000000</v>
      </c>
      <c r="R61" s="127"/>
    </row>
    <row r="62" spans="1:18" ht="30" customHeight="1" outlineLevel="2">
      <c r="A62" s="98">
        <v>15</v>
      </c>
      <c r="B62" s="99" t="s">
        <v>204</v>
      </c>
      <c r="C62" s="100" t="s">
        <v>132</v>
      </c>
      <c r="D62" s="100">
        <v>500</v>
      </c>
      <c r="E62" s="100">
        <v>50000</v>
      </c>
      <c r="F62" s="100">
        <f>E62*D62</f>
        <v>25000000</v>
      </c>
      <c r="G62" s="235"/>
      <c r="H62" s="125"/>
      <c r="I62" s="124">
        <f t="shared" si="7"/>
        <v>-5000000</v>
      </c>
      <c r="K62" s="59">
        <v>16</v>
      </c>
      <c r="L62" s="58">
        <v>15</v>
      </c>
      <c r="M62" s="59" t="s">
        <v>134</v>
      </c>
      <c r="N62" s="60" t="s">
        <v>132</v>
      </c>
      <c r="O62" s="60">
        <v>300</v>
      </c>
      <c r="P62" s="60">
        <v>100000</v>
      </c>
      <c r="Q62" s="60">
        <f>P62*O62</f>
        <v>30000000</v>
      </c>
      <c r="R62" s="127"/>
    </row>
    <row r="63" spans="1:18" ht="30" customHeight="1" outlineLevel="2">
      <c r="A63" s="98">
        <v>16</v>
      </c>
      <c r="B63" s="99" t="s">
        <v>241</v>
      </c>
      <c r="C63" s="100" t="s">
        <v>203</v>
      </c>
      <c r="D63" s="100">
        <v>100</v>
      </c>
      <c r="E63" s="100">
        <v>1000000</v>
      </c>
      <c r="F63" s="100">
        <f>E63*D63</f>
        <v>100000000</v>
      </c>
      <c r="G63" s="235"/>
      <c r="H63" s="125"/>
      <c r="I63" s="124">
        <f t="shared" si="7"/>
        <v>-20000000</v>
      </c>
      <c r="K63" s="126">
        <v>5</v>
      </c>
      <c r="L63" s="58">
        <v>4</v>
      </c>
      <c r="M63" s="59" t="s">
        <v>199</v>
      </c>
      <c r="N63" s="60" t="s">
        <v>137</v>
      </c>
      <c r="O63" s="60">
        <v>80</v>
      </c>
      <c r="P63" s="60">
        <v>1500000</v>
      </c>
      <c r="Q63" s="60">
        <f>P63*O63</f>
        <v>120000000</v>
      </c>
      <c r="R63" s="127"/>
    </row>
    <row r="64" spans="1:18" ht="30" customHeight="1" outlineLevel="2">
      <c r="A64" s="98">
        <v>17</v>
      </c>
      <c r="B64" s="99" t="s">
        <v>180</v>
      </c>
      <c r="C64" s="100" t="s">
        <v>121</v>
      </c>
      <c r="D64" s="100">
        <v>20</v>
      </c>
      <c r="E64" s="100">
        <v>4500000</v>
      </c>
      <c r="F64" s="100">
        <f>E64*D64</f>
        <v>90000000</v>
      </c>
      <c r="G64" s="235"/>
      <c r="H64" s="125"/>
      <c r="I64" s="124">
        <f t="shared" si="7"/>
        <v>-118000000</v>
      </c>
      <c r="K64" s="126">
        <v>6</v>
      </c>
      <c r="L64" s="58">
        <v>5</v>
      </c>
      <c r="M64" s="59" t="s">
        <v>120</v>
      </c>
      <c r="N64" s="60" t="s">
        <v>121</v>
      </c>
      <c r="O64" s="60">
        <v>40</v>
      </c>
      <c r="P64" s="60">
        <v>5200000</v>
      </c>
      <c r="Q64" s="60">
        <f>P64*O64</f>
        <v>208000000</v>
      </c>
      <c r="R64" s="127"/>
    </row>
    <row r="65" spans="1:18" ht="36.75" customHeight="1" outlineLevel="2">
      <c r="A65" s="98">
        <v>18</v>
      </c>
      <c r="B65" s="99" t="s">
        <v>227</v>
      </c>
      <c r="C65" s="100" t="s">
        <v>202</v>
      </c>
      <c r="D65" s="100"/>
      <c r="E65" s="100"/>
      <c r="F65" s="100">
        <v>50000000</v>
      </c>
      <c r="G65" s="235"/>
      <c r="H65" s="125"/>
      <c r="I65" s="124">
        <f t="shared" si="7"/>
        <v>0</v>
      </c>
      <c r="K65" s="59">
        <v>14</v>
      </c>
      <c r="L65" s="58">
        <v>13</v>
      </c>
      <c r="M65" s="61" t="s">
        <v>195</v>
      </c>
      <c r="N65" s="62" t="s">
        <v>127</v>
      </c>
      <c r="O65" s="62">
        <v>1</v>
      </c>
      <c r="P65" s="62"/>
      <c r="Q65" s="62">
        <v>50000000</v>
      </c>
      <c r="R65" s="127"/>
    </row>
    <row r="66" spans="1:18" ht="30" customHeight="1" outlineLevel="2">
      <c r="A66" s="105">
        <v>19</v>
      </c>
      <c r="B66" s="102" t="s">
        <v>256</v>
      </c>
      <c r="C66" s="103"/>
      <c r="D66" s="104"/>
      <c r="E66" s="104"/>
      <c r="F66" s="103">
        <v>70000000</v>
      </c>
      <c r="G66" s="236"/>
      <c r="H66" s="125"/>
      <c r="I66" s="124">
        <f>F66-Q66</f>
        <v>-4000000</v>
      </c>
      <c r="K66" s="59">
        <v>19</v>
      </c>
      <c r="L66" s="58">
        <v>18</v>
      </c>
      <c r="M66" s="59" t="s">
        <v>201</v>
      </c>
      <c r="N66" s="63"/>
      <c r="O66" s="64"/>
      <c r="P66" s="64"/>
      <c r="Q66" s="60">
        <v>74000000</v>
      </c>
      <c r="R66" s="127"/>
    </row>
    <row r="67" spans="1:18" ht="30" customHeight="1" outlineLevel="1">
      <c r="A67" s="108" t="s">
        <v>20</v>
      </c>
      <c r="B67" s="109" t="s">
        <v>135</v>
      </c>
      <c r="C67" s="92"/>
      <c r="D67" s="92"/>
      <c r="E67" s="92"/>
      <c r="F67" s="110">
        <f>SUM(F68:F69)</f>
        <v>520000000</v>
      </c>
      <c r="G67" s="93"/>
      <c r="H67" s="125"/>
      <c r="I67" s="124"/>
      <c r="K67" s="59"/>
      <c r="L67" s="58"/>
      <c r="M67" s="61"/>
      <c r="N67" s="62"/>
      <c r="O67" s="62"/>
      <c r="P67" s="62"/>
      <c r="Q67" s="62"/>
      <c r="R67" s="127"/>
    </row>
    <row r="68" spans="1:18" ht="53.25" customHeight="1" outlineLevel="2">
      <c r="A68" s="94">
        <v>1</v>
      </c>
      <c r="B68" s="95" t="s">
        <v>242</v>
      </c>
      <c r="C68" s="96" t="s">
        <v>130</v>
      </c>
      <c r="D68" s="96">
        <v>1</v>
      </c>
      <c r="E68" s="96">
        <v>200000000</v>
      </c>
      <c r="F68" s="96">
        <f>E68*D68</f>
        <v>200000000</v>
      </c>
      <c r="G68" s="131"/>
      <c r="H68" s="125"/>
      <c r="I68" s="124">
        <f>F68-Q68</f>
        <v>-50000000</v>
      </c>
      <c r="K68" s="59" t="s">
        <v>141</v>
      </c>
      <c r="L68" s="58">
        <v>10</v>
      </c>
      <c r="M68" s="59" t="s">
        <v>129</v>
      </c>
      <c r="N68" s="60" t="s">
        <v>130</v>
      </c>
      <c r="O68" s="60">
        <v>1</v>
      </c>
      <c r="P68" s="60">
        <v>250000000</v>
      </c>
      <c r="Q68" s="60">
        <f>P68*O68</f>
        <v>250000000</v>
      </c>
      <c r="R68" s="127"/>
    </row>
    <row r="69" spans="1:18" ht="30" customHeight="1" outlineLevel="2">
      <c r="A69" s="98">
        <v>2</v>
      </c>
      <c r="B69" s="99" t="s">
        <v>268</v>
      </c>
      <c r="C69" s="100"/>
      <c r="D69" s="100"/>
      <c r="E69" s="100"/>
      <c r="F69" s="100">
        <v>320000000</v>
      </c>
      <c r="G69" s="107"/>
      <c r="H69" s="125"/>
      <c r="I69" s="124">
        <f>F69-Q69</f>
        <v>200000000</v>
      </c>
      <c r="K69" s="59" t="s">
        <v>143</v>
      </c>
      <c r="L69" s="58">
        <v>19</v>
      </c>
      <c r="M69" s="59" t="s">
        <v>136</v>
      </c>
      <c r="N69" s="63"/>
      <c r="O69" s="60"/>
      <c r="P69" s="63"/>
      <c r="Q69" s="60">
        <v>120000000</v>
      </c>
      <c r="R69" s="127"/>
    </row>
    <row r="70" spans="1:17" ht="15.75">
      <c r="A70" s="140"/>
      <c r="B70" s="140"/>
      <c r="C70" s="140"/>
      <c r="D70" s="140"/>
      <c r="E70" s="140"/>
      <c r="F70" s="140"/>
      <c r="G70" s="103"/>
      <c r="K70" s="59"/>
      <c r="L70" s="58"/>
      <c r="M70" s="59"/>
      <c r="N70" s="63"/>
      <c r="O70" s="60"/>
      <c r="P70" s="63"/>
      <c r="Q70" s="60"/>
    </row>
    <row r="71" spans="1:7" ht="16.5" hidden="1">
      <c r="A71" s="132" t="s">
        <v>10</v>
      </c>
      <c r="B71" s="133" t="s">
        <v>147</v>
      </c>
      <c r="C71" s="134"/>
      <c r="D71" s="134"/>
      <c r="E71" s="134"/>
      <c r="F71" s="135">
        <f>SUBTOTAL(9,F72:F73)</f>
        <v>700000000</v>
      </c>
      <c r="G71" s="135"/>
    </row>
    <row r="72" spans="1:7" ht="33" hidden="1">
      <c r="A72" s="136">
        <v>1</v>
      </c>
      <c r="B72" s="137" t="s">
        <v>148</v>
      </c>
      <c r="C72" s="134"/>
      <c r="D72" s="134"/>
      <c r="E72" s="134"/>
      <c r="F72" s="134">
        <v>200000000</v>
      </c>
      <c r="G72" s="134"/>
    </row>
    <row r="73" spans="1:7" ht="16.5" hidden="1">
      <c r="A73" s="136">
        <v>2</v>
      </c>
      <c r="B73" s="138" t="s">
        <v>146</v>
      </c>
      <c r="C73" s="134"/>
      <c r="D73" s="134"/>
      <c r="E73" s="134"/>
      <c r="F73" s="134">
        <v>500000000</v>
      </c>
      <c r="G73" s="134"/>
    </row>
    <row r="74" ht="15" hidden="1"/>
    <row r="75" ht="15" hidden="1"/>
    <row r="79" ht="15">
      <c r="B79" s="126"/>
    </row>
    <row r="80" ht="15">
      <c r="B80" s="126"/>
    </row>
  </sheetData>
  <sheetProtection/>
  <mergeCells count="11">
    <mergeCell ref="F1:G1"/>
    <mergeCell ref="G18:G23"/>
    <mergeCell ref="G13:G14"/>
    <mergeCell ref="G9:G12"/>
    <mergeCell ref="G25:G28"/>
    <mergeCell ref="F5:G5"/>
    <mergeCell ref="A3:G3"/>
    <mergeCell ref="G33:G41"/>
    <mergeCell ref="G57:G66"/>
    <mergeCell ref="G49:G52"/>
    <mergeCell ref="A2:G2"/>
  </mergeCells>
  <printOptions horizontalCentered="1"/>
  <pageMargins left="0.36" right="0.17" top="0.71" bottom="0.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R35"/>
  <sheetViews>
    <sheetView zoomScalePageLayoutView="0" workbookViewId="0" topLeftCell="A1">
      <selection activeCell="F8" sqref="F8"/>
    </sheetView>
  </sheetViews>
  <sheetFormatPr defaultColWidth="9.140625" defaultRowHeight="15" outlineLevelRow="1"/>
  <cols>
    <col min="1" max="1" width="6.00390625" style="122" customWidth="1"/>
    <col min="2" max="2" width="51.00390625" style="123" customWidth="1"/>
    <col min="3" max="3" width="11.7109375" style="124" customWidth="1"/>
    <col min="4" max="4" width="10.8515625" style="124" customWidth="1"/>
    <col min="5" max="5" width="17.140625" style="124" customWidth="1"/>
    <col min="6" max="6" width="21.00390625" style="124" customWidth="1"/>
    <col min="7" max="7" width="15.8515625" style="124" customWidth="1"/>
    <col min="8" max="8" width="24.7109375" style="125" hidden="1" customWidth="1"/>
    <col min="9" max="9" width="12.28125" style="124" hidden="1" customWidth="1"/>
    <col min="10" max="10" width="0" style="124" hidden="1" customWidth="1"/>
    <col min="11" max="11" width="16.00390625" style="124" hidden="1" customWidth="1"/>
    <col min="12" max="12" width="0" style="124" hidden="1" customWidth="1"/>
    <col min="13" max="14" width="15.7109375" style="124" hidden="1" customWidth="1"/>
    <col min="15" max="15" width="0" style="124" hidden="1" customWidth="1"/>
    <col min="16" max="17" width="9.140625" style="124" customWidth="1"/>
    <col min="18" max="18" width="0" style="124" hidden="1" customWidth="1"/>
    <col min="19" max="16384" width="9.140625" style="124" customWidth="1"/>
  </cols>
  <sheetData>
    <row r="1" spans="1:12" s="160" customFormat="1" ht="18" customHeight="1">
      <c r="A1" s="154"/>
      <c r="B1" s="155"/>
      <c r="C1" s="156"/>
      <c r="D1" s="156"/>
      <c r="E1" s="157"/>
      <c r="F1" s="239" t="s">
        <v>269</v>
      </c>
      <c r="G1" s="239"/>
      <c r="H1" s="158"/>
      <c r="I1" s="123" t="s">
        <v>160</v>
      </c>
      <c r="J1" s="159"/>
      <c r="K1" s="159"/>
      <c r="L1" s="159"/>
    </row>
    <row r="2" spans="1:12" s="160" customFormat="1" ht="21.75" customHeight="1">
      <c r="A2" s="244" t="s">
        <v>267</v>
      </c>
      <c r="B2" s="244"/>
      <c r="C2" s="244"/>
      <c r="D2" s="244"/>
      <c r="E2" s="244"/>
      <c r="F2" s="244"/>
      <c r="G2" s="244"/>
      <c r="H2" s="161"/>
      <c r="I2" s="157"/>
      <c r="J2" s="159"/>
      <c r="K2" s="159"/>
      <c r="L2" s="159"/>
    </row>
    <row r="3" spans="1:12" s="160" customFormat="1" ht="25.5" customHeight="1">
      <c r="A3" s="243" t="s">
        <v>181</v>
      </c>
      <c r="B3" s="243"/>
      <c r="C3" s="243"/>
      <c r="D3" s="243"/>
      <c r="E3" s="243"/>
      <c r="F3" s="243"/>
      <c r="G3" s="243"/>
      <c r="H3" s="162"/>
      <c r="I3" s="157"/>
      <c r="J3" s="159"/>
      <c r="K3" s="159"/>
      <c r="L3" s="159"/>
    </row>
    <row r="4" spans="1:12" s="160" customFormat="1" ht="5.25" customHeight="1">
      <c r="A4" s="154"/>
      <c r="B4" s="155"/>
      <c r="C4" s="156"/>
      <c r="D4" s="156"/>
      <c r="E4" s="157"/>
      <c r="H4" s="158"/>
      <c r="I4" s="157"/>
      <c r="J4" s="159"/>
      <c r="K4" s="163"/>
      <c r="L4" s="159"/>
    </row>
    <row r="5" spans="6:7" ht="15.75">
      <c r="F5" s="242" t="s">
        <v>44</v>
      </c>
      <c r="G5" s="242"/>
    </row>
    <row r="6" spans="1:14" ht="41.25" customHeight="1">
      <c r="A6" s="55" t="s">
        <v>42</v>
      </c>
      <c r="B6" s="56" t="s">
        <v>28</v>
      </c>
      <c r="C6" s="56" t="s">
        <v>118</v>
      </c>
      <c r="D6" s="56" t="s">
        <v>119</v>
      </c>
      <c r="E6" s="56" t="s">
        <v>13</v>
      </c>
      <c r="F6" s="56" t="s">
        <v>3</v>
      </c>
      <c r="G6" s="56" t="s">
        <v>7</v>
      </c>
      <c r="H6" s="125" t="s">
        <v>156</v>
      </c>
      <c r="L6" s="56" t="s">
        <v>119</v>
      </c>
      <c r="M6" s="56" t="s">
        <v>13</v>
      </c>
      <c r="N6" s="56" t="s">
        <v>3</v>
      </c>
    </row>
    <row r="7" spans="1:14" ht="41.25" customHeight="1">
      <c r="A7" s="55"/>
      <c r="B7" s="56" t="s">
        <v>12</v>
      </c>
      <c r="C7" s="56"/>
      <c r="D7" s="56"/>
      <c r="E7" s="56"/>
      <c r="F7" s="56">
        <f>ROUND(SUBTOTAL(9,F8:F34),-6)</f>
        <v>49000000</v>
      </c>
      <c r="G7" s="56"/>
      <c r="L7" s="56"/>
      <c r="M7" s="56"/>
      <c r="N7" s="56"/>
    </row>
    <row r="8" spans="1:14" ht="29.25" customHeight="1">
      <c r="A8" s="141" t="s">
        <v>9</v>
      </c>
      <c r="B8" s="142" t="s">
        <v>176</v>
      </c>
      <c r="C8" s="143"/>
      <c r="D8" s="143"/>
      <c r="E8" s="143"/>
      <c r="F8" s="143">
        <f>SUBTOTAL(9,F9:F16)</f>
        <v>11360000</v>
      </c>
      <c r="G8" s="143"/>
      <c r="K8" s="124">
        <v>1989200000</v>
      </c>
      <c r="L8" s="56"/>
      <c r="M8" s="56"/>
      <c r="N8" s="56">
        <f>SUBTOTAL(9,N9:N34)</f>
        <v>971250000</v>
      </c>
    </row>
    <row r="9" spans="1:14" ht="29.25" customHeight="1" thickBot="1">
      <c r="A9" s="164" t="s">
        <v>2</v>
      </c>
      <c r="B9" s="120" t="s">
        <v>169</v>
      </c>
      <c r="C9" s="165" t="s">
        <v>170</v>
      </c>
      <c r="D9" s="165"/>
      <c r="E9" s="144"/>
      <c r="F9" s="144">
        <f>SUBTOTAL(9,F10:F13)</f>
        <v>9120000</v>
      </c>
      <c r="G9" s="130"/>
      <c r="H9" s="125" t="s">
        <v>158</v>
      </c>
      <c r="I9" s="124">
        <f>F9-N9</f>
        <v>-98630000</v>
      </c>
      <c r="K9" s="124">
        <v>209200000</v>
      </c>
      <c r="L9" s="56"/>
      <c r="M9" s="56"/>
      <c r="N9" s="56">
        <f>SUBTOTAL(9,N10:N16)</f>
        <v>107750000</v>
      </c>
    </row>
    <row r="10" spans="1:18" ht="29.25" customHeight="1" outlineLevel="1" thickBot="1">
      <c r="A10" s="165">
        <v>1</v>
      </c>
      <c r="B10" s="117" t="s">
        <v>172</v>
      </c>
      <c r="C10" s="165"/>
      <c r="D10" s="165">
        <v>1</v>
      </c>
      <c r="E10" s="100">
        <v>600000</v>
      </c>
      <c r="F10" s="100">
        <f>D10*E10</f>
        <v>600000</v>
      </c>
      <c r="G10" s="130"/>
      <c r="H10" s="125" t="s">
        <v>157</v>
      </c>
      <c r="K10" s="124">
        <v>30000000</v>
      </c>
      <c r="L10" s="60">
        <v>1</v>
      </c>
      <c r="M10" s="60">
        <v>30000000</v>
      </c>
      <c r="N10" s="60">
        <f>L10*M10</f>
        <v>30000000</v>
      </c>
      <c r="R10" s="166">
        <v>1200</v>
      </c>
    </row>
    <row r="11" spans="1:18" ht="29.25" customHeight="1" outlineLevel="1" thickBot="1">
      <c r="A11" s="165">
        <v>2</v>
      </c>
      <c r="B11" s="117" t="s">
        <v>173</v>
      </c>
      <c r="C11" s="165"/>
      <c r="D11" s="165">
        <v>15</v>
      </c>
      <c r="E11" s="100">
        <v>400000</v>
      </c>
      <c r="F11" s="100">
        <f aca="true" t="shared" si="0" ref="F11:F16">D11*E11</f>
        <v>6000000</v>
      </c>
      <c r="G11" s="130"/>
      <c r="H11" s="125" t="s">
        <v>157</v>
      </c>
      <c r="K11" s="124">
        <v>25000000</v>
      </c>
      <c r="L11" s="60">
        <v>5</v>
      </c>
      <c r="M11" s="60">
        <v>5000000</v>
      </c>
      <c r="N11" s="60">
        <f aca="true" t="shared" si="1" ref="N11:N16">L11*M11</f>
        <v>25000000</v>
      </c>
      <c r="R11" s="167">
        <v>800</v>
      </c>
    </row>
    <row r="12" spans="1:18" ht="29.25" customHeight="1" outlineLevel="1" thickBot="1">
      <c r="A12" s="165">
        <v>3</v>
      </c>
      <c r="B12" s="117" t="s">
        <v>174</v>
      </c>
      <c r="C12" s="165"/>
      <c r="D12" s="165">
        <v>1</v>
      </c>
      <c r="E12" s="100">
        <v>120000</v>
      </c>
      <c r="F12" s="100">
        <f t="shared" si="0"/>
        <v>120000</v>
      </c>
      <c r="G12" s="130"/>
      <c r="H12" s="125" t="s">
        <v>157</v>
      </c>
      <c r="K12" s="124">
        <v>6000000</v>
      </c>
      <c r="L12" s="60">
        <v>3</v>
      </c>
      <c r="M12" s="60">
        <v>2000000</v>
      </c>
      <c r="N12" s="60">
        <f t="shared" si="1"/>
        <v>6000000</v>
      </c>
      <c r="R12" s="167">
        <v>240</v>
      </c>
    </row>
    <row r="13" spans="1:18" ht="29.25" customHeight="1" outlineLevel="1" thickBot="1">
      <c r="A13" s="165">
        <v>4</v>
      </c>
      <c r="B13" s="117" t="s">
        <v>177</v>
      </c>
      <c r="C13" s="165"/>
      <c r="D13" s="165">
        <v>30</v>
      </c>
      <c r="E13" s="100">
        <v>80000</v>
      </c>
      <c r="F13" s="100">
        <f>D13*E13</f>
        <v>2400000</v>
      </c>
      <c r="G13" s="130"/>
      <c r="L13" s="60"/>
      <c r="M13" s="60"/>
      <c r="N13" s="60"/>
      <c r="R13" s="167">
        <v>160</v>
      </c>
    </row>
    <row r="14" spans="1:18" ht="29.25" customHeight="1" outlineLevel="1" thickBot="1">
      <c r="A14" s="164" t="s">
        <v>4</v>
      </c>
      <c r="B14" s="120" t="s">
        <v>171</v>
      </c>
      <c r="C14" s="165"/>
      <c r="D14" s="165"/>
      <c r="E14" s="100"/>
      <c r="F14" s="144">
        <f>SUBTOTAL(9,F15:F16)</f>
        <v>2240000</v>
      </c>
      <c r="G14" s="130"/>
      <c r="K14" s="124">
        <v>15000000</v>
      </c>
      <c r="L14" s="60">
        <v>1</v>
      </c>
      <c r="M14" s="60">
        <v>15000000</v>
      </c>
      <c r="N14" s="60">
        <f t="shared" si="1"/>
        <v>15000000</v>
      </c>
      <c r="R14" s="168"/>
    </row>
    <row r="15" spans="1:18" ht="29.25" customHeight="1" outlineLevel="1" thickBot="1">
      <c r="A15" s="165">
        <v>1</v>
      </c>
      <c r="B15" s="117" t="s">
        <v>178</v>
      </c>
      <c r="C15" s="165" t="s">
        <v>175</v>
      </c>
      <c r="D15" s="165">
        <v>7</v>
      </c>
      <c r="E15" s="100">
        <v>200000</v>
      </c>
      <c r="F15" s="100">
        <f t="shared" si="0"/>
        <v>1400000</v>
      </c>
      <c r="G15" s="130"/>
      <c r="K15" s="124">
        <v>6750000</v>
      </c>
      <c r="L15" s="60">
        <v>150</v>
      </c>
      <c r="M15" s="60">
        <v>45000</v>
      </c>
      <c r="N15" s="60">
        <f t="shared" si="1"/>
        <v>6750000</v>
      </c>
      <c r="R15" s="169">
        <v>400</v>
      </c>
    </row>
    <row r="16" spans="1:18" ht="29.25" customHeight="1" outlineLevel="1" thickBot="1">
      <c r="A16" s="165">
        <v>2</v>
      </c>
      <c r="B16" s="117" t="s">
        <v>179</v>
      </c>
      <c r="C16" s="165" t="s">
        <v>175</v>
      </c>
      <c r="D16" s="165">
        <v>3</v>
      </c>
      <c r="E16" s="100">
        <v>280000</v>
      </c>
      <c r="F16" s="100">
        <f t="shared" si="0"/>
        <v>840000</v>
      </c>
      <c r="G16" s="130"/>
      <c r="K16" s="124">
        <v>25000000</v>
      </c>
      <c r="L16" s="60">
        <v>5</v>
      </c>
      <c r="M16" s="60">
        <v>5000000</v>
      </c>
      <c r="N16" s="60">
        <f t="shared" si="1"/>
        <v>25000000</v>
      </c>
      <c r="R16" s="169">
        <v>560</v>
      </c>
    </row>
    <row r="17" spans="1:14" ht="29.25" customHeight="1">
      <c r="A17" s="145" t="s">
        <v>10</v>
      </c>
      <c r="B17" s="146" t="s">
        <v>183</v>
      </c>
      <c r="C17" s="144"/>
      <c r="D17" s="144"/>
      <c r="E17" s="144"/>
      <c r="F17" s="144">
        <f>SUBTOTAL(9,F18:F25)</f>
        <v>11360000</v>
      </c>
      <c r="G17" s="144"/>
      <c r="H17" s="125" t="s">
        <v>158</v>
      </c>
      <c r="K17" s="124">
        <v>380000000</v>
      </c>
      <c r="L17" s="56"/>
      <c r="M17" s="56"/>
      <c r="N17" s="56">
        <f>SUBTOTAL(9,N18:N25)</f>
        <v>227500000</v>
      </c>
    </row>
    <row r="18" spans="1:14" ht="29.25" customHeight="1" outlineLevel="1">
      <c r="A18" s="164" t="s">
        <v>2</v>
      </c>
      <c r="B18" s="120" t="s">
        <v>169</v>
      </c>
      <c r="C18" s="165" t="s">
        <v>170</v>
      </c>
      <c r="D18" s="165"/>
      <c r="E18" s="144"/>
      <c r="F18" s="144">
        <f>SUBTOTAL(9,F19:F22)</f>
        <v>9120000</v>
      </c>
      <c r="G18" s="130"/>
      <c r="H18" s="125" t="s">
        <v>157</v>
      </c>
      <c r="K18" s="124">
        <v>30000000</v>
      </c>
      <c r="L18" s="60">
        <v>1</v>
      </c>
      <c r="M18" s="60">
        <v>30000000</v>
      </c>
      <c r="N18" s="60">
        <f>L18*M18</f>
        <v>30000000</v>
      </c>
    </row>
    <row r="19" spans="1:14" ht="29.25" customHeight="1" outlineLevel="1">
      <c r="A19" s="165">
        <v>1</v>
      </c>
      <c r="B19" s="117" t="s">
        <v>172</v>
      </c>
      <c r="C19" s="165"/>
      <c r="D19" s="165">
        <v>1</v>
      </c>
      <c r="E19" s="100">
        <v>600000</v>
      </c>
      <c r="F19" s="100">
        <f>D19*E19</f>
        <v>600000</v>
      </c>
      <c r="G19" s="130"/>
      <c r="H19" s="125" t="s">
        <v>157</v>
      </c>
      <c r="K19" s="124">
        <v>25000000</v>
      </c>
      <c r="L19" s="60">
        <v>5</v>
      </c>
      <c r="M19" s="60">
        <v>5000000</v>
      </c>
      <c r="N19" s="60">
        <f aca="true" t="shared" si="2" ref="N19:N25">L19*M19</f>
        <v>25000000</v>
      </c>
    </row>
    <row r="20" spans="1:14" ht="29.25" customHeight="1" outlineLevel="1">
      <c r="A20" s="165">
        <v>2</v>
      </c>
      <c r="B20" s="117" t="s">
        <v>173</v>
      </c>
      <c r="C20" s="165"/>
      <c r="D20" s="165">
        <v>15</v>
      </c>
      <c r="E20" s="100">
        <v>400000</v>
      </c>
      <c r="F20" s="100">
        <f>D20*E20</f>
        <v>6000000</v>
      </c>
      <c r="G20" s="130"/>
      <c r="H20" s="125" t="s">
        <v>157</v>
      </c>
      <c r="K20" s="124">
        <v>10000000</v>
      </c>
      <c r="L20" s="60">
        <v>5</v>
      </c>
      <c r="M20" s="60">
        <v>2000000</v>
      </c>
      <c r="N20" s="60">
        <f t="shared" si="2"/>
        <v>10000000</v>
      </c>
    </row>
    <row r="21" spans="1:14" ht="29.25" customHeight="1" outlineLevel="1">
      <c r="A21" s="165">
        <v>3</v>
      </c>
      <c r="B21" s="117" t="s">
        <v>174</v>
      </c>
      <c r="C21" s="165"/>
      <c r="D21" s="165">
        <v>1</v>
      </c>
      <c r="E21" s="100">
        <v>120000</v>
      </c>
      <c r="F21" s="100">
        <f>D21*E21</f>
        <v>120000</v>
      </c>
      <c r="G21" s="130"/>
      <c r="K21" s="124">
        <v>20000000</v>
      </c>
      <c r="L21" s="60">
        <v>1</v>
      </c>
      <c r="M21" s="60">
        <v>20000000</v>
      </c>
      <c r="N21" s="60">
        <f t="shared" si="2"/>
        <v>20000000</v>
      </c>
    </row>
    <row r="22" spans="1:14" ht="29.25" customHeight="1" outlineLevel="1">
      <c r="A22" s="165">
        <v>4</v>
      </c>
      <c r="B22" s="117" t="s">
        <v>177</v>
      </c>
      <c r="C22" s="165"/>
      <c r="D22" s="165">
        <v>30</v>
      </c>
      <c r="E22" s="100">
        <v>80000</v>
      </c>
      <c r="F22" s="100">
        <f>D22*E22</f>
        <v>2400000</v>
      </c>
      <c r="G22" s="130"/>
      <c r="K22" s="124">
        <v>13500000</v>
      </c>
      <c r="L22" s="60">
        <v>300</v>
      </c>
      <c r="M22" s="60">
        <v>45000</v>
      </c>
      <c r="N22" s="60">
        <f t="shared" si="2"/>
        <v>13500000</v>
      </c>
    </row>
    <row r="23" spans="1:14" ht="29.25" customHeight="1" outlineLevel="1">
      <c r="A23" s="164" t="s">
        <v>4</v>
      </c>
      <c r="B23" s="120" t="s">
        <v>171</v>
      </c>
      <c r="C23" s="165"/>
      <c r="D23" s="165"/>
      <c r="E23" s="100"/>
      <c r="F23" s="144">
        <f>SUBTOTAL(9,F24:F25)</f>
        <v>2240000</v>
      </c>
      <c r="G23" s="130"/>
      <c r="K23" s="124">
        <v>75000000</v>
      </c>
      <c r="L23" s="60">
        <v>15</v>
      </c>
      <c r="M23" s="60">
        <v>5000000</v>
      </c>
      <c r="N23" s="60">
        <f t="shared" si="2"/>
        <v>75000000</v>
      </c>
    </row>
    <row r="24" spans="1:14" ht="29.25" customHeight="1" outlineLevel="1">
      <c r="A24" s="165">
        <v>1</v>
      </c>
      <c r="B24" s="117" t="s">
        <v>178</v>
      </c>
      <c r="C24" s="165" t="s">
        <v>175</v>
      </c>
      <c r="D24" s="165">
        <v>7</v>
      </c>
      <c r="E24" s="100">
        <v>200000</v>
      </c>
      <c r="F24" s="100">
        <f>D24*E24</f>
        <v>1400000</v>
      </c>
      <c r="G24" s="130"/>
      <c r="H24" s="125" t="s">
        <v>157</v>
      </c>
      <c r="K24" s="124">
        <v>36000000</v>
      </c>
      <c r="L24" s="60">
        <v>30</v>
      </c>
      <c r="M24" s="60">
        <v>1200000</v>
      </c>
      <c r="N24" s="60">
        <f t="shared" si="2"/>
        <v>36000000</v>
      </c>
    </row>
    <row r="25" spans="1:14" ht="29.25" customHeight="1" outlineLevel="1">
      <c r="A25" s="165">
        <v>2</v>
      </c>
      <c r="B25" s="117" t="s">
        <v>179</v>
      </c>
      <c r="C25" s="165" t="s">
        <v>175</v>
      </c>
      <c r="D25" s="165">
        <v>3</v>
      </c>
      <c r="E25" s="100">
        <v>280000</v>
      </c>
      <c r="F25" s="100">
        <f>D25*E25</f>
        <v>840000</v>
      </c>
      <c r="G25" s="100"/>
      <c r="K25" s="124">
        <v>18000000</v>
      </c>
      <c r="L25" s="60">
        <v>300</v>
      </c>
      <c r="M25" s="60">
        <v>60000</v>
      </c>
      <c r="N25" s="60">
        <f t="shared" si="2"/>
        <v>18000000</v>
      </c>
    </row>
    <row r="26" spans="1:14" ht="29.25" customHeight="1">
      <c r="A26" s="145" t="s">
        <v>10</v>
      </c>
      <c r="B26" s="146" t="s">
        <v>182</v>
      </c>
      <c r="C26" s="144"/>
      <c r="D26" s="144"/>
      <c r="E26" s="144"/>
      <c r="F26" s="144">
        <f>SUBTOTAL(9,F27:F34)</f>
        <v>25920000</v>
      </c>
      <c r="G26" s="130"/>
      <c r="K26" s="124">
        <v>1400000000</v>
      </c>
      <c r="L26" s="56"/>
      <c r="M26" s="56"/>
      <c r="N26" s="56">
        <f>SUBTOTAL(9,N27:N34)</f>
        <v>636000000</v>
      </c>
    </row>
    <row r="27" spans="1:14" ht="29.25" customHeight="1" outlineLevel="1">
      <c r="A27" s="164" t="s">
        <v>2</v>
      </c>
      <c r="B27" s="120" t="s">
        <v>169</v>
      </c>
      <c r="C27" s="165" t="s">
        <v>170</v>
      </c>
      <c r="D27" s="165"/>
      <c r="E27" s="144"/>
      <c r="F27" s="144">
        <f>SUBTOTAL(9,F28:F31)</f>
        <v>21440000</v>
      </c>
      <c r="G27" s="130"/>
      <c r="L27" s="60">
        <v>1</v>
      </c>
      <c r="M27" s="60">
        <v>30000000</v>
      </c>
      <c r="N27" s="60">
        <f>M27*L27</f>
        <v>30000000</v>
      </c>
    </row>
    <row r="28" spans="1:18" ht="29.25" customHeight="1" outlineLevel="1" thickBot="1">
      <c r="A28" s="165">
        <v>1</v>
      </c>
      <c r="B28" s="117" t="s">
        <v>172</v>
      </c>
      <c r="C28" s="165"/>
      <c r="D28" s="165">
        <v>1</v>
      </c>
      <c r="E28" s="100">
        <v>1200000</v>
      </c>
      <c r="F28" s="100">
        <f>D28*E28</f>
        <v>1200000</v>
      </c>
      <c r="G28" s="130"/>
      <c r="L28" s="60">
        <v>10</v>
      </c>
      <c r="M28" s="60">
        <v>5000000</v>
      </c>
      <c r="N28" s="60">
        <f aca="true" t="shared" si="3" ref="N28:N34">M28*L28</f>
        <v>50000000</v>
      </c>
      <c r="R28" s="170">
        <v>1200</v>
      </c>
    </row>
    <row r="29" spans="1:18" ht="29.25" customHeight="1" outlineLevel="1" thickBot="1">
      <c r="A29" s="165">
        <v>2</v>
      </c>
      <c r="B29" s="117" t="s">
        <v>173</v>
      </c>
      <c r="C29" s="165"/>
      <c r="D29" s="220">
        <v>15</v>
      </c>
      <c r="E29" s="100">
        <v>800000</v>
      </c>
      <c r="F29" s="100">
        <f>D29*E29</f>
        <v>12000000</v>
      </c>
      <c r="G29" s="130"/>
      <c r="L29" s="60">
        <v>5</v>
      </c>
      <c r="M29" s="60">
        <v>2000000</v>
      </c>
      <c r="N29" s="60">
        <f t="shared" si="3"/>
        <v>10000000</v>
      </c>
      <c r="R29" s="169">
        <v>800</v>
      </c>
    </row>
    <row r="30" spans="1:18" ht="29.25" customHeight="1" outlineLevel="1" thickBot="1">
      <c r="A30" s="165">
        <v>3</v>
      </c>
      <c r="B30" s="117" t="s">
        <v>174</v>
      </c>
      <c r="C30" s="165"/>
      <c r="D30" s="165">
        <v>1</v>
      </c>
      <c r="E30" s="100">
        <v>240000</v>
      </c>
      <c r="F30" s="100">
        <f>D30*E30</f>
        <v>240000</v>
      </c>
      <c r="G30" s="130"/>
      <c r="L30" s="60">
        <v>80</v>
      </c>
      <c r="M30" s="60">
        <v>1500000</v>
      </c>
      <c r="N30" s="60">
        <f t="shared" si="3"/>
        <v>120000000</v>
      </c>
      <c r="R30" s="169">
        <v>240</v>
      </c>
    </row>
    <row r="31" spans="1:18" ht="29.25" customHeight="1" outlineLevel="1" thickBot="1">
      <c r="A31" s="165">
        <v>4</v>
      </c>
      <c r="B31" s="117" t="s">
        <v>177</v>
      </c>
      <c r="C31" s="165"/>
      <c r="D31" s="165">
        <v>50</v>
      </c>
      <c r="E31" s="100">
        <v>160000</v>
      </c>
      <c r="F31" s="100">
        <f>D31*E31</f>
        <v>8000000</v>
      </c>
      <c r="G31" s="130"/>
      <c r="L31" s="60">
        <v>40</v>
      </c>
      <c r="M31" s="60">
        <v>5200000</v>
      </c>
      <c r="N31" s="60">
        <f t="shared" si="3"/>
        <v>208000000</v>
      </c>
      <c r="R31" s="169">
        <v>160</v>
      </c>
    </row>
    <row r="32" spans="1:18" ht="29.25" customHeight="1" outlineLevel="1" thickBot="1">
      <c r="A32" s="164" t="s">
        <v>4</v>
      </c>
      <c r="B32" s="120" t="s">
        <v>171</v>
      </c>
      <c r="C32" s="165"/>
      <c r="D32" s="165"/>
      <c r="E32" s="100"/>
      <c r="F32" s="144">
        <f>SUBTOTAL(9,F33:F34)</f>
        <v>4480000</v>
      </c>
      <c r="G32" s="130"/>
      <c r="L32" s="60">
        <v>300</v>
      </c>
      <c r="M32" s="60">
        <v>500000</v>
      </c>
      <c r="N32" s="60">
        <f t="shared" si="3"/>
        <v>150000000</v>
      </c>
      <c r="R32" s="169"/>
    </row>
    <row r="33" spans="1:18" ht="29.25" customHeight="1" outlineLevel="1" thickBot="1">
      <c r="A33" s="165">
        <v>1</v>
      </c>
      <c r="B33" s="117" t="s">
        <v>178</v>
      </c>
      <c r="C33" s="165" t="s">
        <v>175</v>
      </c>
      <c r="D33" s="165">
        <v>7</v>
      </c>
      <c r="E33" s="100">
        <v>400000</v>
      </c>
      <c r="F33" s="100">
        <f>D33*E33</f>
        <v>2800000</v>
      </c>
      <c r="G33" s="130"/>
      <c r="L33" s="60">
        <v>300</v>
      </c>
      <c r="M33" s="60">
        <v>60000</v>
      </c>
      <c r="N33" s="60">
        <f t="shared" si="3"/>
        <v>18000000</v>
      </c>
      <c r="R33" s="169">
        <v>400</v>
      </c>
    </row>
    <row r="34" spans="1:18" ht="29.25" customHeight="1" outlineLevel="1" thickBot="1">
      <c r="A34" s="165">
        <v>2</v>
      </c>
      <c r="B34" s="117" t="s">
        <v>179</v>
      </c>
      <c r="C34" s="165" t="s">
        <v>175</v>
      </c>
      <c r="D34" s="165">
        <v>3</v>
      </c>
      <c r="E34" s="100">
        <v>560000</v>
      </c>
      <c r="F34" s="100">
        <f>D34*E34</f>
        <v>1680000</v>
      </c>
      <c r="G34" s="130"/>
      <c r="L34" s="60">
        <v>1</v>
      </c>
      <c r="M34" s="60">
        <v>50000000</v>
      </c>
      <c r="N34" s="60">
        <f t="shared" si="3"/>
        <v>50000000</v>
      </c>
      <c r="R34" s="169">
        <v>560</v>
      </c>
    </row>
    <row r="35" spans="1:7" ht="15">
      <c r="A35" s="171"/>
      <c r="B35" s="172"/>
      <c r="C35" s="173"/>
      <c r="D35" s="173"/>
      <c r="E35" s="173"/>
      <c r="F35" s="173"/>
      <c r="G35" s="173"/>
    </row>
  </sheetData>
  <sheetProtection/>
  <mergeCells count="4">
    <mergeCell ref="F5:G5"/>
    <mergeCell ref="F1:G1"/>
    <mergeCell ref="A3:G3"/>
    <mergeCell ref="A2:G2"/>
  </mergeCells>
  <printOptions horizontalCentered="1"/>
  <pageMargins left="0.36" right="0.17" top="0.52" bottom="0.57"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0"/>
  <sheetViews>
    <sheetView zoomScalePageLayoutView="0" workbookViewId="0" topLeftCell="A4">
      <selection activeCell="E5" sqref="E5"/>
    </sheetView>
  </sheetViews>
  <sheetFormatPr defaultColWidth="9.140625" defaultRowHeight="15"/>
  <cols>
    <col min="2" max="2" width="36.00390625" style="0" customWidth="1"/>
    <col min="3" max="4" width="15.140625" style="0" customWidth="1"/>
    <col min="5" max="5" width="13.140625" style="0" customWidth="1"/>
    <col min="7" max="7" width="32.28125" style="0" customWidth="1"/>
    <col min="8" max="8" width="13.28125" style="0" bestFit="1" customWidth="1"/>
  </cols>
  <sheetData>
    <row r="1" spans="1:6" ht="56.25" customHeight="1">
      <c r="A1" s="245" t="s">
        <v>26</v>
      </c>
      <c r="B1" s="246"/>
      <c r="C1" s="246"/>
      <c r="D1" s="246"/>
      <c r="E1" s="246"/>
      <c r="F1" s="246"/>
    </row>
    <row r="2" spans="1:6" ht="27" customHeight="1">
      <c r="A2" s="3"/>
      <c r="B2" s="3"/>
      <c r="C2" s="3"/>
      <c r="D2" s="24">
        <v>0.8</v>
      </c>
      <c r="E2" s="3"/>
      <c r="F2" s="3"/>
    </row>
    <row r="3" spans="1:6" ht="71.25">
      <c r="A3" s="4" t="s">
        <v>27</v>
      </c>
      <c r="B3" s="4" t="s">
        <v>28</v>
      </c>
      <c r="C3" s="5" t="s">
        <v>29</v>
      </c>
      <c r="D3" s="5" t="s">
        <v>36</v>
      </c>
      <c r="E3" s="5" t="s">
        <v>30</v>
      </c>
      <c r="F3" s="4" t="s">
        <v>7</v>
      </c>
    </row>
    <row r="4" spans="1:7" ht="90">
      <c r="A4" s="6" t="s">
        <v>14</v>
      </c>
      <c r="B4" s="7" t="s">
        <v>31</v>
      </c>
      <c r="C4" s="8">
        <v>40000000</v>
      </c>
      <c r="D4" s="8">
        <f>C4*$D$2</f>
        <v>32000000</v>
      </c>
      <c r="E4" s="8">
        <f>ROUND(D4/22,-3)</f>
        <v>1455000</v>
      </c>
      <c r="F4" s="9"/>
      <c r="G4" s="10" t="s">
        <v>37</v>
      </c>
    </row>
    <row r="5" spans="1:8" ht="90">
      <c r="A5" s="6" t="s">
        <v>15</v>
      </c>
      <c r="B5" s="7" t="s">
        <v>32</v>
      </c>
      <c r="C5" s="8">
        <v>30000000</v>
      </c>
      <c r="D5" s="8">
        <f>C5*$D$2</f>
        <v>24000000</v>
      </c>
      <c r="E5" s="8">
        <f>ROUND(D5/22,-3)</f>
        <v>1091000</v>
      </c>
      <c r="F5" s="9"/>
      <c r="H5" s="20"/>
    </row>
    <row r="6" spans="1:8" ht="75">
      <c r="A6" s="11" t="s">
        <v>16</v>
      </c>
      <c r="B6" s="21" t="s">
        <v>33</v>
      </c>
      <c r="C6" s="22">
        <v>20000000</v>
      </c>
      <c r="D6" s="8">
        <f>C6*$D$2</f>
        <v>16000000</v>
      </c>
      <c r="E6" s="8">
        <f>ROUND(D6/22,-3)</f>
        <v>727000</v>
      </c>
      <c r="F6" s="9"/>
      <c r="H6" s="20"/>
    </row>
    <row r="7" spans="1:8" ht="75">
      <c r="A7" s="11" t="s">
        <v>17</v>
      </c>
      <c r="B7" s="7" t="s">
        <v>34</v>
      </c>
      <c r="C7" s="8">
        <v>15000000</v>
      </c>
      <c r="D7" s="8">
        <f>C7*$D$2</f>
        <v>12000000</v>
      </c>
      <c r="E7" s="8">
        <f>ROUND(D7/22,-3)</f>
        <v>545000</v>
      </c>
      <c r="F7" s="9"/>
      <c r="H7" s="20"/>
    </row>
    <row r="8" spans="1:6" ht="15">
      <c r="A8" s="9"/>
      <c r="B8" s="7"/>
      <c r="C8" s="9"/>
      <c r="D8" s="9"/>
      <c r="E8" s="9"/>
      <c r="F8" s="9"/>
    </row>
    <row r="9" spans="1:6" ht="15">
      <c r="A9" s="3"/>
      <c r="B9" s="3"/>
      <c r="C9" s="3"/>
      <c r="D9" s="3"/>
      <c r="E9" s="3"/>
      <c r="F9" s="3"/>
    </row>
    <row r="10" spans="1:6" ht="15">
      <c r="A10" s="3"/>
      <c r="B10" s="246" t="s">
        <v>35</v>
      </c>
      <c r="C10" s="246"/>
      <c r="D10" s="246"/>
      <c r="E10" s="246"/>
      <c r="F10" s="246"/>
    </row>
  </sheetData>
  <sheetProtection/>
  <mergeCells count="2">
    <mergeCell ref="A1:F1"/>
    <mergeCell ref="B10:F1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15"/>
  <sheetViews>
    <sheetView zoomScalePageLayoutView="0" workbookViewId="0" topLeftCell="A1">
      <selection activeCell="B10" sqref="B10"/>
    </sheetView>
  </sheetViews>
  <sheetFormatPr defaultColWidth="9.140625" defaultRowHeight="15"/>
  <cols>
    <col min="2" max="2" width="57.00390625" style="0" customWidth="1"/>
    <col min="3" max="3" width="20.57421875" style="0" customWidth="1"/>
    <col min="4" max="4" width="20.8515625" style="0" customWidth="1"/>
    <col min="5" max="5" width="21.28125" style="0" customWidth="1"/>
  </cols>
  <sheetData>
    <row r="1" ht="15.75">
      <c r="A1" s="25" t="s">
        <v>48</v>
      </c>
    </row>
    <row r="2" spans="1:6" ht="43.5" customHeight="1">
      <c r="A2" s="222" t="s">
        <v>75</v>
      </c>
      <c r="B2" s="222"/>
      <c r="C2" s="222"/>
      <c r="D2" s="222"/>
      <c r="E2" s="222"/>
      <c r="F2" s="26"/>
    </row>
    <row r="3" spans="1:6" ht="27.75" customHeight="1">
      <c r="A3" s="223" t="s">
        <v>47</v>
      </c>
      <c r="B3" s="223"/>
      <c r="C3" s="223"/>
      <c r="D3" s="223"/>
      <c r="E3" s="223"/>
      <c r="F3" s="27"/>
    </row>
    <row r="4" ht="15.75">
      <c r="A4" s="25"/>
    </row>
    <row r="5" spans="1:5" ht="40.5" customHeight="1">
      <c r="A5" s="28" t="s">
        <v>42</v>
      </c>
      <c r="B5" s="28" t="s">
        <v>49</v>
      </c>
      <c r="C5" s="28" t="s">
        <v>74</v>
      </c>
      <c r="D5" s="28" t="s">
        <v>50</v>
      </c>
      <c r="E5" s="28" t="s">
        <v>7</v>
      </c>
    </row>
    <row r="6" spans="1:5" ht="24.75" customHeight="1">
      <c r="A6" s="29">
        <v>1</v>
      </c>
      <c r="B6" s="30" t="s">
        <v>51</v>
      </c>
      <c r="C6" s="30" t="s">
        <v>52</v>
      </c>
      <c r="D6" s="29" t="s">
        <v>53</v>
      </c>
      <c r="E6" s="30"/>
    </row>
    <row r="7" spans="1:5" ht="21" customHeight="1">
      <c r="A7" s="29">
        <v>2</v>
      </c>
      <c r="B7" s="30" t="s">
        <v>54</v>
      </c>
      <c r="C7" s="30" t="s">
        <v>55</v>
      </c>
      <c r="D7" s="29" t="s">
        <v>53</v>
      </c>
      <c r="E7" s="30"/>
    </row>
    <row r="8" spans="1:5" ht="43.5" customHeight="1">
      <c r="A8" s="29">
        <v>3</v>
      </c>
      <c r="B8" s="30" t="s">
        <v>56</v>
      </c>
      <c r="C8" s="30" t="s">
        <v>57</v>
      </c>
      <c r="D8" s="29" t="s">
        <v>58</v>
      </c>
      <c r="E8" s="30"/>
    </row>
    <row r="9" spans="1:5" ht="29.25" customHeight="1">
      <c r="A9" s="29">
        <v>4</v>
      </c>
      <c r="B9" s="30" t="s">
        <v>59</v>
      </c>
      <c r="C9" s="30" t="s">
        <v>57</v>
      </c>
      <c r="D9" s="29" t="s">
        <v>60</v>
      </c>
      <c r="E9" s="30"/>
    </row>
    <row r="10" spans="1:5" ht="43.5" customHeight="1">
      <c r="A10" s="29">
        <v>5</v>
      </c>
      <c r="B10" s="30" t="s">
        <v>61</v>
      </c>
      <c r="C10" s="31" t="s">
        <v>52</v>
      </c>
      <c r="D10" s="29" t="s">
        <v>62</v>
      </c>
      <c r="E10" s="30"/>
    </row>
    <row r="11" spans="1:5" ht="43.5" customHeight="1">
      <c r="A11" s="29">
        <v>6</v>
      </c>
      <c r="B11" s="30" t="s">
        <v>63</v>
      </c>
      <c r="C11" s="30" t="s">
        <v>64</v>
      </c>
      <c r="D11" s="29" t="s">
        <v>65</v>
      </c>
      <c r="E11" s="29"/>
    </row>
    <row r="12" spans="1:5" ht="24.75" customHeight="1">
      <c r="A12" s="29">
        <v>7</v>
      </c>
      <c r="B12" s="30" t="s">
        <v>66</v>
      </c>
      <c r="C12" s="30" t="s">
        <v>52</v>
      </c>
      <c r="D12" s="29" t="s">
        <v>67</v>
      </c>
      <c r="E12" s="29"/>
    </row>
    <row r="13" spans="1:5" ht="24.75" customHeight="1">
      <c r="A13" s="29">
        <v>8</v>
      </c>
      <c r="B13" s="30" t="s">
        <v>68</v>
      </c>
      <c r="C13" s="29" t="s">
        <v>52</v>
      </c>
      <c r="D13" s="29" t="s">
        <v>69</v>
      </c>
      <c r="E13" s="30"/>
    </row>
    <row r="14" spans="1:5" ht="21" customHeight="1">
      <c r="A14" s="29">
        <v>9</v>
      </c>
      <c r="B14" s="30" t="s">
        <v>70</v>
      </c>
      <c r="C14" s="29" t="s">
        <v>52</v>
      </c>
      <c r="D14" s="29" t="s">
        <v>71</v>
      </c>
      <c r="E14" s="30"/>
    </row>
    <row r="15" spans="1:5" ht="43.5" customHeight="1">
      <c r="A15" s="29">
        <v>10</v>
      </c>
      <c r="B15" s="30" t="s">
        <v>72</v>
      </c>
      <c r="C15" s="29" t="s">
        <v>73</v>
      </c>
      <c r="D15" s="32">
        <v>44108</v>
      </c>
      <c r="E15" s="30"/>
    </row>
  </sheetData>
  <sheetProtection/>
  <mergeCells count="2">
    <mergeCell ref="A2:E2"/>
    <mergeCell ref="A3:E3"/>
  </mergeCells>
  <printOptions horizontalCentered="1"/>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C00000"/>
  </sheetPr>
  <dimension ref="A1:I18"/>
  <sheetViews>
    <sheetView zoomScalePageLayoutView="0" workbookViewId="0" topLeftCell="A4">
      <selection activeCell="B6" sqref="B6"/>
    </sheetView>
  </sheetViews>
  <sheetFormatPr defaultColWidth="9.140625" defaultRowHeight="15"/>
  <cols>
    <col min="1" max="1" width="3.57421875" style="0" bestFit="1" customWidth="1"/>
    <col min="2" max="2" width="50.421875" style="0" customWidth="1"/>
    <col min="3" max="3" width="14.7109375" style="0" customWidth="1"/>
    <col min="4" max="4" width="12.140625" style="0" customWidth="1"/>
    <col min="5" max="5" width="17.140625" style="0" customWidth="1"/>
    <col min="6" max="6" width="16.140625" style="0" customWidth="1"/>
    <col min="7" max="7" width="16.28125" style="0" customWidth="1"/>
    <col min="8" max="8" width="12.8515625" style="0" customWidth="1"/>
    <col min="9" max="9" width="13.8515625" style="0" customWidth="1"/>
  </cols>
  <sheetData>
    <row r="1" spans="1:9" ht="18.75">
      <c r="A1" s="247" t="s">
        <v>90</v>
      </c>
      <c r="B1" s="247"/>
      <c r="C1" s="247"/>
      <c r="D1" s="247"/>
      <c r="E1" s="247"/>
      <c r="F1" s="247"/>
      <c r="G1" s="247"/>
      <c r="H1" s="247"/>
      <c r="I1" s="247"/>
    </row>
    <row r="2" spans="1:9" ht="40.5" customHeight="1">
      <c r="A2" s="248" t="s">
        <v>91</v>
      </c>
      <c r="B2" s="248"/>
      <c r="C2" s="248"/>
      <c r="D2" s="248"/>
      <c r="E2" s="248"/>
      <c r="F2" s="248"/>
      <c r="G2" s="248"/>
      <c r="H2" s="248"/>
      <c r="I2" s="248"/>
    </row>
    <row r="3" spans="1:9" ht="34.5" customHeight="1">
      <c r="A3" s="249" t="s">
        <v>99</v>
      </c>
      <c r="B3" s="249"/>
      <c r="C3" s="249"/>
      <c r="D3" s="249"/>
      <c r="E3" s="249"/>
      <c r="F3" s="249"/>
      <c r="G3" s="249"/>
      <c r="H3" s="249"/>
      <c r="I3" s="249"/>
    </row>
    <row r="4" spans="1:9" ht="16.5">
      <c r="A4" s="33"/>
      <c r="B4" s="34"/>
      <c r="C4" s="35"/>
      <c r="D4" s="34"/>
      <c r="E4" s="34"/>
      <c r="F4" s="34"/>
      <c r="G4" s="34"/>
      <c r="H4" s="34"/>
      <c r="I4" s="36" t="s">
        <v>76</v>
      </c>
    </row>
    <row r="5" spans="1:9" ht="66">
      <c r="A5" s="37" t="s">
        <v>42</v>
      </c>
      <c r="B5" s="52" t="s">
        <v>98</v>
      </c>
      <c r="C5" s="37" t="s">
        <v>77</v>
      </c>
      <c r="D5" s="37" t="s">
        <v>78</v>
      </c>
      <c r="E5" s="37" t="s">
        <v>92</v>
      </c>
      <c r="F5" s="37" t="s">
        <v>93</v>
      </c>
      <c r="G5" s="37" t="s">
        <v>79</v>
      </c>
      <c r="H5" s="37" t="s">
        <v>80</v>
      </c>
      <c r="I5" s="37" t="s">
        <v>81</v>
      </c>
    </row>
    <row r="6" spans="1:9" ht="16.5" customHeight="1">
      <c r="A6" s="38"/>
      <c r="B6" s="39" t="s">
        <v>82</v>
      </c>
      <c r="C6" s="40" t="e">
        <f>#REF!</f>
        <v>#REF!</v>
      </c>
      <c r="D6" s="250" t="s">
        <v>83</v>
      </c>
      <c r="E6" s="38"/>
      <c r="F6" s="38"/>
      <c r="G6" s="38"/>
      <c r="H6" s="38"/>
      <c r="I6" s="38"/>
    </row>
    <row r="7" spans="1:9" ht="18.75">
      <c r="A7" s="41" t="s">
        <v>2</v>
      </c>
      <c r="B7" s="39" t="s">
        <v>84</v>
      </c>
      <c r="C7" s="40">
        <v>0</v>
      </c>
      <c r="D7" s="251"/>
      <c r="E7" s="37"/>
      <c r="F7" s="37"/>
      <c r="G7" s="37"/>
      <c r="H7" s="37"/>
      <c r="I7" s="37"/>
    </row>
    <row r="8" spans="1:9" ht="49.5">
      <c r="A8" s="41" t="s">
        <v>4</v>
      </c>
      <c r="B8" s="39" t="s">
        <v>97</v>
      </c>
      <c r="C8" s="40" t="e">
        <f>C6-C9</f>
        <v>#REF!</v>
      </c>
      <c r="D8" s="251"/>
      <c r="E8" s="49" t="s">
        <v>85</v>
      </c>
      <c r="F8" s="47"/>
      <c r="G8" s="47"/>
      <c r="H8" s="47"/>
      <c r="I8" s="47"/>
    </row>
    <row r="9" spans="1:9" ht="30.75" customHeight="1">
      <c r="A9" s="37" t="s">
        <v>5</v>
      </c>
      <c r="B9" s="42" t="s">
        <v>86</v>
      </c>
      <c r="C9" s="40">
        <f>'PL3_B1_CP Chuyen gia'!F6</f>
        <v>497000000</v>
      </c>
      <c r="D9" s="251"/>
      <c r="E9" s="38"/>
      <c r="F9" s="38"/>
      <c r="G9" s="43"/>
      <c r="H9" s="43"/>
      <c r="I9" s="43"/>
    </row>
    <row r="10" spans="1:9" ht="49.5">
      <c r="A10" s="44">
        <v>1</v>
      </c>
      <c r="B10" s="45" t="s">
        <v>100</v>
      </c>
      <c r="C10" s="46">
        <f>'PL3_B1_CP Chuyen gia'!F6</f>
        <v>497000000</v>
      </c>
      <c r="D10" s="252"/>
      <c r="E10" s="38" t="s">
        <v>95</v>
      </c>
      <c r="F10" s="38" t="s">
        <v>94</v>
      </c>
      <c r="G10" s="51" t="s">
        <v>96</v>
      </c>
      <c r="H10" s="38" t="s">
        <v>87</v>
      </c>
      <c r="I10" s="38" t="s">
        <v>89</v>
      </c>
    </row>
    <row r="11" spans="1:9" ht="33">
      <c r="A11" s="41" t="s">
        <v>20</v>
      </c>
      <c r="B11" s="42" t="s">
        <v>88</v>
      </c>
      <c r="C11" s="40">
        <v>0</v>
      </c>
      <c r="D11" s="47"/>
      <c r="E11" s="37"/>
      <c r="F11" s="37"/>
      <c r="G11" s="37"/>
      <c r="H11" s="37"/>
      <c r="I11" s="37"/>
    </row>
    <row r="12" spans="1:9" ht="16.5">
      <c r="A12" s="38"/>
      <c r="B12" s="47"/>
      <c r="C12" s="48"/>
      <c r="D12" s="47"/>
      <c r="E12" s="38"/>
      <c r="F12" s="38"/>
      <c r="G12" s="38"/>
      <c r="H12" s="38"/>
      <c r="I12" s="38"/>
    </row>
    <row r="14" spans="2:9" ht="16.5">
      <c r="B14" s="253"/>
      <c r="C14" s="253"/>
      <c r="D14" s="253"/>
      <c r="E14" s="253"/>
      <c r="F14" s="253"/>
      <c r="G14" s="253"/>
      <c r="H14" s="253"/>
      <c r="I14" s="253"/>
    </row>
    <row r="16" ht="15">
      <c r="C16" s="50"/>
    </row>
    <row r="18" ht="15">
      <c r="C18" s="50"/>
    </row>
  </sheetData>
  <sheetProtection/>
  <mergeCells count="5">
    <mergeCell ref="A1:I1"/>
    <mergeCell ref="A2:I2"/>
    <mergeCell ref="A3:I3"/>
    <mergeCell ref="D6:D10"/>
    <mergeCell ref="B14:I14"/>
  </mergeCells>
  <printOptions/>
  <pageMargins left="0.4724409448818898" right="0.31496062992125984" top="0.7480314960629921" bottom="0.7480314960629921" header="0.31496062992125984" footer="0.31496062992125984"/>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A3" sqref="A3:I3"/>
    </sheetView>
  </sheetViews>
  <sheetFormatPr defaultColWidth="9.140625" defaultRowHeight="15"/>
  <cols>
    <col min="1" max="1" width="3.57421875" style="0" bestFit="1" customWidth="1"/>
    <col min="2" max="2" width="50.421875" style="0" customWidth="1"/>
    <col min="3" max="3" width="15.57421875" style="0" customWidth="1"/>
    <col min="4" max="4" width="8.8515625" style="0" customWidth="1"/>
    <col min="5" max="5" width="12.00390625" style="0" customWidth="1"/>
    <col min="6" max="6" width="11.00390625" style="0" customWidth="1"/>
    <col min="7" max="7" width="12.421875" style="0" customWidth="1"/>
    <col min="8" max="8" width="9.8515625" style="0" customWidth="1"/>
    <col min="9" max="9" width="12.140625" style="0" customWidth="1"/>
  </cols>
  <sheetData>
    <row r="1" spans="1:9" ht="18.75">
      <c r="A1" s="247" t="s">
        <v>274</v>
      </c>
      <c r="B1" s="247"/>
      <c r="C1" s="247"/>
      <c r="D1" s="247"/>
      <c r="E1" s="247"/>
      <c r="F1" s="247"/>
      <c r="G1" s="247"/>
      <c r="H1" s="247"/>
      <c r="I1" s="247"/>
    </row>
    <row r="2" spans="1:9" ht="40.5" customHeight="1">
      <c r="A2" s="248" t="s">
        <v>91</v>
      </c>
      <c r="B2" s="248"/>
      <c r="C2" s="248"/>
      <c r="D2" s="248"/>
      <c r="E2" s="248"/>
      <c r="F2" s="248"/>
      <c r="G2" s="248"/>
      <c r="H2" s="248"/>
      <c r="I2" s="248"/>
    </row>
    <row r="3" spans="1:9" ht="34.5" customHeight="1">
      <c r="A3" s="254" t="s">
        <v>275</v>
      </c>
      <c r="B3" s="255"/>
      <c r="C3" s="255"/>
      <c r="D3" s="255"/>
      <c r="E3" s="255"/>
      <c r="F3" s="255"/>
      <c r="G3" s="255"/>
      <c r="H3" s="255"/>
      <c r="I3" s="255"/>
    </row>
    <row r="4" spans="1:9" ht="16.5">
      <c r="A4" s="33"/>
      <c r="B4" s="34"/>
      <c r="C4" s="35"/>
      <c r="D4" s="34"/>
      <c r="E4" s="34"/>
      <c r="F4" s="34"/>
      <c r="G4" s="34"/>
      <c r="H4" s="34"/>
      <c r="I4" s="36" t="s">
        <v>214</v>
      </c>
    </row>
    <row r="5" spans="1:9" ht="78.75">
      <c r="A5" s="77" t="s">
        <v>42</v>
      </c>
      <c r="B5" s="78" t="s">
        <v>98</v>
      </c>
      <c r="C5" s="77" t="s">
        <v>77</v>
      </c>
      <c r="D5" s="77" t="s">
        <v>78</v>
      </c>
      <c r="E5" s="77" t="s">
        <v>92</v>
      </c>
      <c r="F5" s="77" t="s">
        <v>93</v>
      </c>
      <c r="G5" s="77" t="s">
        <v>79</v>
      </c>
      <c r="H5" s="77" t="s">
        <v>80</v>
      </c>
      <c r="I5" s="77" t="s">
        <v>81</v>
      </c>
    </row>
    <row r="6" spans="1:9" ht="16.5" customHeight="1">
      <c r="A6" s="79"/>
      <c r="B6" s="80" t="s">
        <v>82</v>
      </c>
      <c r="C6" s="81">
        <f>ROUND((C8+C9),-6)</f>
        <v>2362000000</v>
      </c>
      <c r="D6" s="256" t="s">
        <v>83</v>
      </c>
      <c r="E6" s="79"/>
      <c r="F6" s="79"/>
      <c r="G6" s="79"/>
      <c r="H6" s="79"/>
      <c r="I6" s="79"/>
    </row>
    <row r="7" spans="1:9" ht="15.75">
      <c r="A7" s="82" t="s">
        <v>2</v>
      </c>
      <c r="B7" s="80" t="s">
        <v>84</v>
      </c>
      <c r="C7" s="81">
        <v>0</v>
      </c>
      <c r="D7" s="257"/>
      <c r="E7" s="77"/>
      <c r="F7" s="77"/>
      <c r="G7" s="77"/>
      <c r="H7" s="77"/>
      <c r="I7" s="77"/>
    </row>
    <row r="8" spans="1:9" ht="78.75">
      <c r="A8" s="82" t="s">
        <v>4</v>
      </c>
      <c r="B8" s="80" t="s">
        <v>97</v>
      </c>
      <c r="C8" s="81">
        <f>'PL3_B2_CP Hoi thao'!F7+'PL3_B1_CP Tham dinh'!F7</f>
        <v>1865000000</v>
      </c>
      <c r="D8" s="257"/>
      <c r="E8" s="83" t="s">
        <v>85</v>
      </c>
      <c r="F8" s="84"/>
      <c r="G8" s="84"/>
      <c r="H8" s="84"/>
      <c r="I8" s="84"/>
    </row>
    <row r="9" spans="1:9" ht="34.5" customHeight="1">
      <c r="A9" s="77" t="s">
        <v>5</v>
      </c>
      <c r="B9" s="85" t="s">
        <v>86</v>
      </c>
      <c r="C9" s="81">
        <f>C10</f>
        <v>497000000</v>
      </c>
      <c r="D9" s="257"/>
      <c r="E9" s="79"/>
      <c r="F9" s="79"/>
      <c r="G9" s="86"/>
      <c r="H9" s="86"/>
      <c r="I9" s="86"/>
    </row>
    <row r="10" spans="1:9" ht="47.25">
      <c r="A10" s="87">
        <v>1</v>
      </c>
      <c r="B10" s="88" t="s">
        <v>100</v>
      </c>
      <c r="C10" s="89">
        <f>PL3!C7</f>
        <v>497000000</v>
      </c>
      <c r="D10" s="258"/>
      <c r="E10" s="79" t="s">
        <v>95</v>
      </c>
      <c r="F10" s="79" t="s">
        <v>94</v>
      </c>
      <c r="G10" s="90" t="s">
        <v>154</v>
      </c>
      <c r="H10" s="79" t="s">
        <v>87</v>
      </c>
      <c r="I10" s="79" t="s">
        <v>155</v>
      </c>
    </row>
    <row r="11" spans="1:9" ht="31.5">
      <c r="A11" s="82" t="s">
        <v>20</v>
      </c>
      <c r="B11" s="85" t="s">
        <v>88</v>
      </c>
      <c r="C11" s="81">
        <v>0</v>
      </c>
      <c r="D11" s="84"/>
      <c r="E11" s="77"/>
      <c r="F11" s="77"/>
      <c r="G11" s="77"/>
      <c r="H11" s="77"/>
      <c r="I11" s="77"/>
    </row>
    <row r="12" spans="1:9" ht="15.75">
      <c r="A12" s="79"/>
      <c r="B12" s="84"/>
      <c r="C12" s="91"/>
      <c r="D12" s="84"/>
      <c r="E12" s="79"/>
      <c r="F12" s="79"/>
      <c r="G12" s="79"/>
      <c r="H12" s="79"/>
      <c r="I12" s="79"/>
    </row>
    <row r="14" spans="2:9" ht="16.5">
      <c r="B14" s="253"/>
      <c r="C14" s="253"/>
      <c r="D14" s="253"/>
      <c r="E14" s="253"/>
      <c r="F14" s="253"/>
      <c r="G14" s="253"/>
      <c r="H14" s="253"/>
      <c r="I14" s="253"/>
    </row>
    <row r="16" ht="15">
      <c r="C16" s="50"/>
    </row>
    <row r="18" ht="15">
      <c r="C18" s="50"/>
    </row>
  </sheetData>
  <sheetProtection/>
  <mergeCells count="5">
    <mergeCell ref="A1:I1"/>
    <mergeCell ref="A2:I2"/>
    <mergeCell ref="A3:I3"/>
    <mergeCell ref="D6:D10"/>
    <mergeCell ref="B14:I14"/>
  </mergeCells>
  <printOptions/>
  <pageMargins left="0.57" right="0.28" top="0.56"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 Do</dc:creator>
  <cp:keywords/>
  <dc:description/>
  <cp:lastModifiedBy>Admin</cp:lastModifiedBy>
  <cp:lastPrinted>2020-04-06T06:40:40Z</cp:lastPrinted>
  <dcterms:created xsi:type="dcterms:W3CDTF">2019-12-18T03:22:25Z</dcterms:created>
  <dcterms:modified xsi:type="dcterms:W3CDTF">2020-04-16T09:27:52Z</dcterms:modified>
  <cp:category/>
  <cp:version/>
  <cp:contentType/>
  <cp:contentStatus/>
</cp:coreProperties>
</file>