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Biểu 01" sheetId="1" r:id="rId1"/>
    <sheet name="Biểu 02" sheetId="4" r:id="rId2"/>
  </sheets>
  <externalReferences>
    <externalReference r:id="rId3"/>
  </externalReferences>
  <definedNames>
    <definedName name="_xlnm.Print_Area" localSheetId="0">'Biểu 01'!$A$1:$J$86</definedName>
    <definedName name="_xlnm.Print_Titles" localSheetId="0">'Biểu 01'!$4:$5</definedName>
    <definedName name="_xlnm.Print_Titles" localSheetId="1">'Biểu 02'!$4:$5</definedName>
  </definedNames>
  <calcPr calcId="152511"/>
</workbook>
</file>

<file path=xl/calcChain.xml><?xml version="1.0" encoding="utf-8"?>
<calcChain xmlns="http://schemas.openxmlformats.org/spreadsheetml/2006/main">
  <c r="O10" i="4" l="1"/>
  <c r="M10" i="4"/>
  <c r="N10" i="4"/>
  <c r="N17" i="4"/>
  <c r="L17" i="4"/>
  <c r="M17" i="4"/>
  <c r="F17" i="4"/>
  <c r="G16" i="4"/>
  <c r="C78" i="4"/>
  <c r="J76" i="4"/>
  <c r="I76" i="4"/>
  <c r="H76" i="4"/>
  <c r="J75" i="4"/>
  <c r="I75" i="4"/>
  <c r="H75" i="4"/>
  <c r="J73" i="4"/>
  <c r="I73" i="4"/>
  <c r="H73" i="4"/>
  <c r="J71" i="4"/>
  <c r="I71" i="4"/>
  <c r="H71" i="4"/>
  <c r="G70" i="4"/>
  <c r="J70" i="4" s="1"/>
  <c r="F70" i="4"/>
  <c r="I70" i="4" s="1"/>
  <c r="D70" i="4"/>
  <c r="C70" i="4"/>
  <c r="J69" i="4"/>
  <c r="I69" i="4"/>
  <c r="H69" i="4"/>
  <c r="J67" i="4"/>
  <c r="I67" i="4"/>
  <c r="H67" i="4"/>
  <c r="J66" i="4"/>
  <c r="I66" i="4"/>
  <c r="H66" i="4"/>
  <c r="J65" i="4"/>
  <c r="I65" i="4"/>
  <c r="H65" i="4"/>
  <c r="J63" i="4"/>
  <c r="I63" i="4"/>
  <c r="H63" i="4"/>
  <c r="F62" i="4"/>
  <c r="I62" i="4" s="1"/>
  <c r="D62" i="4"/>
  <c r="J61" i="4"/>
  <c r="I61" i="4"/>
  <c r="J60" i="4"/>
  <c r="I60" i="4"/>
  <c r="H60" i="4"/>
  <c r="J59" i="4"/>
  <c r="I59" i="4"/>
  <c r="H59" i="4"/>
  <c r="G58" i="4"/>
  <c r="J58" i="4" s="1"/>
  <c r="F58" i="4"/>
  <c r="H58" i="4" s="1"/>
  <c r="D58" i="4"/>
  <c r="C58" i="4"/>
  <c r="J57" i="4"/>
  <c r="I57" i="4"/>
  <c r="H57" i="4"/>
  <c r="J56" i="4"/>
  <c r="I56" i="4"/>
  <c r="H56" i="4"/>
  <c r="I55" i="4"/>
  <c r="G55" i="4"/>
  <c r="J55" i="4" s="1"/>
  <c r="F55" i="4"/>
  <c r="D55" i="4"/>
  <c r="H55" i="4" s="1"/>
  <c r="C55" i="4"/>
  <c r="J54" i="4"/>
  <c r="I54" i="4"/>
  <c r="H54" i="4"/>
  <c r="J53" i="4"/>
  <c r="I53" i="4"/>
  <c r="H53" i="4"/>
  <c r="G52" i="4"/>
  <c r="J52" i="4" s="1"/>
  <c r="F52" i="4"/>
  <c r="I52" i="4" s="1"/>
  <c r="D52" i="4"/>
  <c r="C52" i="4"/>
  <c r="J51" i="4"/>
  <c r="I51" i="4"/>
  <c r="H51" i="4"/>
  <c r="J49" i="4"/>
  <c r="I49" i="4"/>
  <c r="H49" i="4"/>
  <c r="J48" i="4"/>
  <c r="I48" i="4"/>
  <c r="H48" i="4"/>
  <c r="I46" i="4"/>
  <c r="G46" i="4"/>
  <c r="J46" i="4" s="1"/>
  <c r="D46" i="4"/>
  <c r="H46" i="4" s="1"/>
  <c r="J45" i="4"/>
  <c r="I45" i="4"/>
  <c r="H45" i="4"/>
  <c r="J44" i="4"/>
  <c r="I44" i="4"/>
  <c r="H44" i="4"/>
  <c r="J43" i="4"/>
  <c r="I43" i="4"/>
  <c r="H43" i="4"/>
  <c r="J42" i="4"/>
  <c r="I42" i="4"/>
  <c r="H42" i="4"/>
  <c r="J41" i="4"/>
  <c r="F41" i="4"/>
  <c r="I41" i="4" s="1"/>
  <c r="J40" i="4"/>
  <c r="I40" i="4"/>
  <c r="H40" i="4"/>
  <c r="J39" i="4"/>
  <c r="I39" i="4"/>
  <c r="H39" i="4"/>
  <c r="J38" i="4"/>
  <c r="I38" i="4"/>
  <c r="H38" i="4"/>
  <c r="J36" i="4"/>
  <c r="I36" i="4"/>
  <c r="H36" i="4"/>
  <c r="J35" i="4"/>
  <c r="I35" i="4"/>
  <c r="H35" i="4"/>
  <c r="J34" i="4"/>
  <c r="I34" i="4"/>
  <c r="H34" i="4"/>
  <c r="J32" i="4"/>
  <c r="I32" i="4"/>
  <c r="H32" i="4"/>
  <c r="J31" i="4"/>
  <c r="I31" i="4"/>
  <c r="H31" i="4"/>
  <c r="J29" i="4"/>
  <c r="I29" i="4"/>
  <c r="H29" i="4"/>
  <c r="J28" i="4"/>
  <c r="I28" i="4"/>
  <c r="H28" i="4"/>
  <c r="J27" i="4"/>
  <c r="I27" i="4"/>
  <c r="H27" i="4"/>
  <c r="J26" i="4"/>
  <c r="I26" i="4"/>
  <c r="D26" i="4"/>
  <c r="H26" i="4" s="1"/>
  <c r="J25" i="4"/>
  <c r="I25" i="4"/>
  <c r="H25" i="4"/>
  <c r="J24" i="4"/>
  <c r="I24" i="4"/>
  <c r="H24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J18" i="4"/>
  <c r="I18" i="4"/>
  <c r="H18" i="4"/>
  <c r="J17" i="4"/>
  <c r="I17" i="4"/>
  <c r="D17" i="4"/>
  <c r="C17" i="4"/>
  <c r="J16" i="4"/>
  <c r="F16" i="4"/>
  <c r="I16" i="4" s="1"/>
  <c r="E16" i="4"/>
  <c r="D16" i="4"/>
  <c r="C16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G9" i="4"/>
  <c r="J9" i="4" s="1"/>
  <c r="F9" i="4"/>
  <c r="H9" i="4" s="1"/>
  <c r="D9" i="4"/>
  <c r="C9" i="4"/>
  <c r="I9" i="4" l="1"/>
  <c r="H17" i="4"/>
  <c r="H41" i="4"/>
  <c r="I58" i="4"/>
  <c r="H70" i="4"/>
  <c r="H52" i="4"/>
  <c r="H16" i="4"/>
  <c r="A3" i="4" l="1"/>
  <c r="H62" i="1" l="1"/>
  <c r="J55" i="1" l="1"/>
  <c r="I55" i="1"/>
  <c r="H55" i="1"/>
  <c r="J62" i="1"/>
  <c r="I62" i="1"/>
  <c r="H53" i="1"/>
  <c r="I53" i="1"/>
  <c r="J53" i="1"/>
  <c r="H54" i="1"/>
  <c r="I54" i="1"/>
  <c r="J54" i="1"/>
  <c r="J52" i="1"/>
  <c r="I52" i="1"/>
  <c r="H52" i="1"/>
  <c r="G59" i="1"/>
  <c r="G57" i="1"/>
  <c r="G56" i="1" s="1"/>
  <c r="F57" i="1"/>
  <c r="F56" i="1" s="1"/>
  <c r="E57" i="1"/>
  <c r="E56" i="1" s="1"/>
  <c r="D57" i="1"/>
  <c r="D56" i="1" s="1"/>
  <c r="C57" i="1"/>
  <c r="C56" i="1" s="1"/>
  <c r="H57" i="1" l="1"/>
  <c r="I56" i="1"/>
  <c r="H56" i="1"/>
  <c r="I57" i="1"/>
  <c r="J56" i="1"/>
  <c r="J57" i="1"/>
  <c r="G83" i="1"/>
  <c r="G85" i="1"/>
  <c r="H67" i="1" l="1"/>
  <c r="I67" i="1"/>
  <c r="J67" i="1"/>
  <c r="H68" i="1"/>
  <c r="I68" i="1"/>
  <c r="J68" i="1"/>
  <c r="H69" i="1"/>
  <c r="I69" i="1"/>
  <c r="J69" i="1"/>
  <c r="H70" i="1"/>
  <c r="I70" i="1"/>
  <c r="J70" i="1"/>
  <c r="D66" i="1"/>
  <c r="F66" i="1"/>
  <c r="H66" i="1" l="1"/>
  <c r="E72" i="1"/>
  <c r="E76" i="1" s="1"/>
  <c r="C72" i="1"/>
  <c r="C76" i="1" s="1"/>
  <c r="G73" i="1" l="1"/>
  <c r="G74" i="1"/>
  <c r="G75" i="1"/>
  <c r="D50" i="1"/>
  <c r="E50" i="1"/>
  <c r="F50" i="1"/>
  <c r="I50" i="1" l="1"/>
  <c r="H50" i="1"/>
  <c r="G72" i="1"/>
  <c r="G76" i="1" s="1"/>
  <c r="E66" i="1"/>
  <c r="I66" i="1" s="1"/>
  <c r="G66" i="1"/>
  <c r="C66" i="1"/>
  <c r="G50" i="1"/>
  <c r="C50" i="1"/>
  <c r="H48" i="1"/>
  <c r="E48" i="1"/>
  <c r="I48" i="1" s="1"/>
  <c r="C48" i="1"/>
  <c r="H47" i="1"/>
  <c r="E47" i="1"/>
  <c r="I47" i="1" s="1"/>
  <c r="C47" i="1"/>
  <c r="H46" i="1"/>
  <c r="E46" i="1"/>
  <c r="I46" i="1" s="1"/>
  <c r="C46" i="1"/>
  <c r="H45" i="1"/>
  <c r="E45" i="1"/>
  <c r="I45" i="1" s="1"/>
  <c r="C45" i="1"/>
  <c r="H44" i="1"/>
  <c r="H43" i="1"/>
  <c r="E43" i="1"/>
  <c r="I43" i="1" s="1"/>
  <c r="C43" i="1"/>
  <c r="H42" i="1"/>
  <c r="E42" i="1"/>
  <c r="I42" i="1" s="1"/>
  <c r="C42" i="1"/>
  <c r="H41" i="1"/>
  <c r="H40" i="1"/>
  <c r="C39" i="1"/>
  <c r="C38" i="1"/>
  <c r="C37" i="1"/>
  <c r="C36" i="1"/>
  <c r="G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G29" i="1"/>
  <c r="E29" i="1"/>
  <c r="C29" i="1"/>
  <c r="G28" i="1"/>
  <c r="E28" i="1"/>
  <c r="C28" i="1"/>
  <c r="G27" i="1"/>
  <c r="G26" i="1"/>
  <c r="C26" i="1"/>
  <c r="G25" i="1"/>
  <c r="G48" i="1" s="1"/>
  <c r="D25" i="1"/>
  <c r="G24" i="1"/>
  <c r="G47" i="1" s="1"/>
  <c r="D24" i="1"/>
  <c r="G23" i="1"/>
  <c r="G46" i="1" s="1"/>
  <c r="F23" i="1"/>
  <c r="I23" i="1" s="1"/>
  <c r="D23" i="1"/>
  <c r="G22" i="1"/>
  <c r="G45" i="1" s="1"/>
  <c r="D22" i="1"/>
  <c r="G21" i="1"/>
  <c r="E21" i="1"/>
  <c r="C21" i="1"/>
  <c r="G20" i="1"/>
  <c r="G43" i="1" s="1"/>
  <c r="D20" i="1"/>
  <c r="G19" i="1"/>
  <c r="G42" i="1" s="1"/>
  <c r="D19" i="1"/>
  <c r="G18" i="1"/>
  <c r="E18" i="1"/>
  <c r="C18" i="1"/>
  <c r="G17" i="1"/>
  <c r="L17" i="1" s="1"/>
  <c r="G16" i="1"/>
  <c r="F16" i="1"/>
  <c r="F25" i="1" s="1"/>
  <c r="G15" i="1"/>
  <c r="F15" i="1"/>
  <c r="F24" i="1" s="1"/>
  <c r="G14" i="1"/>
  <c r="G13" i="1"/>
  <c r="F13" i="1"/>
  <c r="F22" i="1" s="1"/>
  <c r="G12" i="1"/>
  <c r="E12" i="1"/>
  <c r="D12" i="1"/>
  <c r="C12" i="1"/>
  <c r="G11" i="1"/>
  <c r="F11" i="1"/>
  <c r="F20" i="1" s="1"/>
  <c r="G10" i="1"/>
  <c r="F10" i="1"/>
  <c r="F19" i="1" s="1"/>
  <c r="G9" i="1"/>
  <c r="E9" i="1"/>
  <c r="D9" i="1"/>
  <c r="C9" i="1"/>
  <c r="G8" i="1"/>
  <c r="E8" i="1"/>
  <c r="E17" i="1" l="1"/>
  <c r="J50" i="1"/>
  <c r="J43" i="1"/>
  <c r="C8" i="1"/>
  <c r="J47" i="1"/>
  <c r="E27" i="1"/>
  <c r="H22" i="1"/>
  <c r="D8" i="1"/>
  <c r="C17" i="1"/>
  <c r="J17" i="1" s="1"/>
  <c r="C44" i="1"/>
  <c r="J66" i="1"/>
  <c r="E41" i="1"/>
  <c r="I41" i="1" s="1"/>
  <c r="F12" i="1"/>
  <c r="J46" i="1"/>
  <c r="C30" i="1"/>
  <c r="C27" i="1"/>
  <c r="J48" i="1"/>
  <c r="E30" i="1"/>
  <c r="E26" i="1" s="1"/>
  <c r="E44" i="1"/>
  <c r="I44" i="1" s="1"/>
  <c r="F9" i="1"/>
  <c r="C41" i="1"/>
  <c r="D18" i="1"/>
  <c r="H23" i="1"/>
  <c r="D21" i="1"/>
  <c r="J18" i="1"/>
  <c r="J21" i="1"/>
  <c r="G37" i="1"/>
  <c r="G38" i="1"/>
  <c r="G39" i="1"/>
  <c r="I20" i="1"/>
  <c r="H20" i="1"/>
  <c r="I24" i="1"/>
  <c r="H24" i="1"/>
  <c r="I19" i="1"/>
  <c r="F18" i="1"/>
  <c r="H19" i="1"/>
  <c r="I22" i="1"/>
  <c r="F21" i="1"/>
  <c r="I25" i="1"/>
  <c r="H25" i="1"/>
  <c r="G41" i="1"/>
  <c r="J42" i="1"/>
  <c r="G44" i="1"/>
  <c r="J45" i="1"/>
  <c r="J19" i="1"/>
  <c r="J20" i="1"/>
  <c r="J22" i="1"/>
  <c r="J23" i="1"/>
  <c r="J24" i="1"/>
  <c r="J25" i="1"/>
  <c r="E40" i="1" l="1"/>
  <c r="I40" i="1" s="1"/>
  <c r="J44" i="1"/>
  <c r="C40" i="1"/>
  <c r="I21" i="1"/>
  <c r="H21" i="1"/>
  <c r="F8" i="1"/>
  <c r="D17" i="1"/>
  <c r="E39" i="1"/>
  <c r="E37" i="1"/>
  <c r="E38" i="1"/>
  <c r="G36" i="1"/>
  <c r="I18" i="1"/>
  <c r="F17" i="1"/>
  <c r="H18" i="1"/>
  <c r="G40" i="1"/>
  <c r="J40" i="1" s="1"/>
  <c r="J41" i="1"/>
  <c r="E36" i="1" l="1"/>
  <c r="I17" i="1"/>
  <c r="H17" i="1"/>
</calcChain>
</file>

<file path=xl/sharedStrings.xml><?xml version="1.0" encoding="utf-8"?>
<sst xmlns="http://schemas.openxmlformats.org/spreadsheetml/2006/main" count="351" uniqueCount="195">
  <si>
    <t xml:space="preserve">Chỉ tiêu </t>
  </si>
  <si>
    <t xml:space="preserve">Đơn vị tính </t>
  </si>
  <si>
    <t>TH
2018</t>
  </si>
  <si>
    <t>TH 6 tháng năm 2018</t>
  </si>
  <si>
    <t>Ước TH năm 2019</t>
  </si>
  <si>
    <t>So sánh</t>
  </si>
  <si>
    <t>KH 
2019</t>
  </si>
  <si>
    <t>Ước TH 6 tháng năm 2019</t>
  </si>
  <si>
    <t>% so với cùng kỳ</t>
  </si>
  <si>
    <t>% so với kế hoạch</t>
  </si>
  <si>
    <t>Ước TH 2019/2018 (%)</t>
  </si>
  <si>
    <t>A. Chỉ tiêu kinh tế</t>
  </si>
  <si>
    <t>1. Giá trị sản xuất (GO)</t>
  </si>
  <si>
    <t>1.1. Giá trị sản xuất (giá thực tế)</t>
  </si>
  <si>
    <t>Tr.đồng</t>
  </si>
  <si>
    <t>a) Công nghiệp - xây dựng</t>
  </si>
  <si>
    <t xml:space="preserve">  - Công nghiệp </t>
  </si>
  <si>
    <t xml:space="preserve">  - Xây dựng</t>
  </si>
  <si>
    <t>b) Nông, lâm, ngư nghiệp</t>
  </si>
  <si>
    <t xml:space="preserve">   - Nông  nghiệp</t>
  </si>
  <si>
    <t xml:space="preserve">   - Lâm nghiệp</t>
  </si>
  <si>
    <t xml:space="preserve">   - Ngư nghiệp</t>
  </si>
  <si>
    <t>c) Dịch vụ</t>
  </si>
  <si>
    <t>1.2. Giá trị sản xuất (giá cố định 2010)</t>
  </si>
  <si>
    <t>1.3. Tổng sản phẩm theo giá thực tế</t>
  </si>
  <si>
    <t xml:space="preserve"> - Công nghiệp - Xây dựng</t>
  </si>
  <si>
    <t xml:space="preserve"> Trong đó : - Công nghiệp </t>
  </si>
  <si>
    <t xml:space="preserve">                   - Xây dựng</t>
  </si>
  <si>
    <t>- Nông Lâm - Thủy Sản</t>
  </si>
  <si>
    <t xml:space="preserve">                   - Nông nghiệp</t>
  </si>
  <si>
    <t xml:space="preserve">                   - Lâm nghiệp</t>
  </si>
  <si>
    <t xml:space="preserve">                    - Thủy sản</t>
  </si>
  <si>
    <t xml:space="preserve"> - Dịch vụ</t>
  </si>
  <si>
    <t xml:space="preserve"> * Thu nhập B/q đầu người</t>
  </si>
  <si>
    <t>1.000đ</t>
  </si>
  <si>
    <t xml:space="preserve"> * Cơ cấu tổng sản phẩm</t>
  </si>
  <si>
    <t>%</t>
  </si>
  <si>
    <t xml:space="preserve">   - Công nghiệp - xây dựng</t>
  </si>
  <si>
    <t xml:space="preserve">   - Nông, lâm, ngư nghiệp</t>
  </si>
  <si>
    <t xml:space="preserve">   - Dịch vụ</t>
  </si>
  <si>
    <t>1.4. Tổng sản phẩm (giá 2010)</t>
  </si>
  <si>
    <t>a) Công nghiệp - xây dựng (VA)</t>
  </si>
  <si>
    <t>b) Nông, lâm, ngư nghiệp  (VA)</t>
  </si>
  <si>
    <t>c) Dịch Vụ  (VA)</t>
  </si>
  <si>
    <t>2. Thu, chi ngân sách</t>
  </si>
  <si>
    <t>2.1. Thu NSNN trên địa bàn</t>
  </si>
  <si>
    <t xml:space="preserve">Trong đó:  </t>
  </si>
  <si>
    <t xml:space="preserve">- Thu từ cấp quyền sử dụng đất </t>
  </si>
  <si>
    <t>- Thu ngoài quốc doanh</t>
  </si>
  <si>
    <t>- Thu các loại khác</t>
  </si>
  <si>
    <t>2.2. Thu bổ sung từ ngân sách tỉnh</t>
  </si>
  <si>
    <t>2.3. Tổng chi ngân sách địa phương</t>
  </si>
  <si>
    <t>a) Chi ĐTPT do địa phương quản lý</t>
  </si>
  <si>
    <t xml:space="preserve">       + Vốn cân đối Ngân sách địa phương </t>
  </si>
  <si>
    <t xml:space="preserve">Trong đó: Đầu tư từ nguồn sử dụng đất </t>
  </si>
  <si>
    <t xml:space="preserve">       + Chương trình mục tiêu quốc gia</t>
  </si>
  <si>
    <t xml:space="preserve">       + Nguồn ngân sách khác</t>
  </si>
  <si>
    <t>b) Chi thường xuyên</t>
  </si>
  <si>
    <t xml:space="preserve">       + Chi cho sự nghiệp giáo dục </t>
  </si>
  <si>
    <t xml:space="preserve">       + Chi cho QL hành chính Nhà nước</t>
  </si>
  <si>
    <t xml:space="preserve">       + Chi SN khác (VH, K.tế, chi khác)</t>
  </si>
  <si>
    <t xml:space="preserve">3. Tổng vốn đầu tư phát triển </t>
  </si>
  <si>
    <t xml:space="preserve">    - Trung ương quản lý</t>
  </si>
  <si>
    <t xml:space="preserve">    - Tỉnh quản lý</t>
  </si>
  <si>
    <t xml:space="preserve">    - Huyện quản lý</t>
  </si>
  <si>
    <t xml:space="preserve">    - Vốn DN và nhân dân </t>
  </si>
  <si>
    <t>B. Chỉ tiêu xã hội -Môi trường</t>
  </si>
  <si>
    <t xml:space="preserve"> 1. Dân số trung bình</t>
  </si>
  <si>
    <t>1000 người</t>
  </si>
  <si>
    <t xml:space="preserve">Trong đó: + Khu vực thành thị </t>
  </si>
  <si>
    <t xml:space="preserve">  + Khu vực nông thôn </t>
  </si>
  <si>
    <t xml:space="preserve">  - Dân tộc thiểu số</t>
  </si>
  <si>
    <t xml:space="preserve">  - Tỷ lệ dân cư đô thị </t>
  </si>
  <si>
    <t xml:space="preserve"> 2. Tổng số hộ</t>
  </si>
  <si>
    <t>Hộ</t>
  </si>
  <si>
    <t xml:space="preserve"> 3. Tỷ lệ tăng dân số tự nhiên</t>
  </si>
  <si>
    <t xml:space="preserve"> 4. Đào tạo lao động</t>
  </si>
  <si>
    <t>lao động</t>
  </si>
  <si>
    <t xml:space="preserve"> 5. Số lao động được giải quyết việc làm mới trong năm </t>
  </si>
  <si>
    <t>Người</t>
  </si>
  <si>
    <t xml:space="preserve"> 6. Tỷ lệ hộ nghèo theo chuẩn mới quốc gia</t>
  </si>
  <si>
    <t xml:space="preserve"> 7. Tỷ lệ trẻ em dưới 5 tuổi suy dinh dưỡng</t>
  </si>
  <si>
    <t>Năm 2018</t>
  </si>
  <si>
    <t xml:space="preserve"> 8. Tỷ lệ người dân tham gia BHYT</t>
  </si>
  <si>
    <t xml:space="preserve"> 9. Tỷ lệ hộ dùng nước sạch (nước an toàn)</t>
  </si>
  <si>
    <t xml:space="preserve"> 10. Tỷ lệ chất thải rắn sinh hoạt được thu gom, xử lý</t>
  </si>
  <si>
    <t xml:space="preserve"> 11. Tỷ lệ độ che phủ rừng</t>
  </si>
  <si>
    <t xml:space="preserve"> MỘT SỐ CHỈ TIÊU TỔNG HỢP KINH TẾ - XÃ HỘI </t>
  </si>
  <si>
    <t>Chỉ tiêu</t>
  </si>
  <si>
    <t>ĐVT</t>
  </si>
  <si>
    <t>Thực hiện năm 2018</t>
  </si>
  <si>
    <t>Năm 2019</t>
  </si>
  <si>
    <t>Ghi chú</t>
  </si>
  <si>
    <t>KH năm 2019</t>
  </si>
  <si>
    <t>% so KH</t>
  </si>
  <si>
    <t>Ước TH2019/         TH2018</t>
  </si>
  <si>
    <t>A. Nông, lâm, ngư nghiệp</t>
  </si>
  <si>
    <t>1. Nông nghiệp</t>
  </si>
  <si>
    <t>a. Sản lượng cây trồng</t>
  </si>
  <si>
    <t>- Sản lượng lương thực có hạt:</t>
  </si>
  <si>
    <t>tấn</t>
  </si>
  <si>
    <t>+ Riêng thóc</t>
  </si>
  <si>
    <t>+ Ngô</t>
  </si>
  <si>
    <t>- Lạc vỏ</t>
  </si>
  <si>
    <t>- Sắn</t>
  </si>
  <si>
    <t>- Cao su mủ tươi</t>
  </si>
  <si>
    <t>b. Diện tích một số cây chủ yếu</t>
  </si>
  <si>
    <t>* Tổng DT gieo trồng cây hàng năm</t>
  </si>
  <si>
    <t>ha</t>
  </si>
  <si>
    <t>- Lúa cả năm</t>
  </si>
  <si>
    <t>+ Vụ Đông xuân</t>
  </si>
  <si>
    <t>+ Vụ Hè thu</t>
  </si>
  <si>
    <t>- Ngô</t>
  </si>
  <si>
    <t>+ Trong đó sắn công nghiệp</t>
  </si>
  <si>
    <t>- Khoai lang</t>
  </si>
  <si>
    <t>- Đậu các loại</t>
  </si>
  <si>
    <t>- Rau các loại</t>
  </si>
  <si>
    <t>- Cây lấy bột khác</t>
  </si>
  <si>
    <t>- Cây Mía</t>
  </si>
  <si>
    <t>- Cao su</t>
  </si>
  <si>
    <t>+ Trong đó trồng mới</t>
  </si>
  <si>
    <t>- Cây làm thức ăn gia súc</t>
  </si>
  <si>
    <t>* Số km kênh mương được kiên cố</t>
  </si>
  <si>
    <t>km</t>
  </si>
  <si>
    <t>c. Giá trị thu nhập chủ yếu</t>
  </si>
  <si>
    <t>- Giá trị thu nhập trên ha canh tác</t>
  </si>
  <si>
    <t>- Giá trị thu nhập trên 1ha vườn</t>
  </si>
  <si>
    <t>- Giá trị thu hoạch trên 1hacao su</t>
  </si>
  <si>
    <t>2. Chăn nuôi</t>
  </si>
  <si>
    <t>- Đàn trâu</t>
  </si>
  <si>
    <t>con</t>
  </si>
  <si>
    <t>- Đàn bò</t>
  </si>
  <si>
    <t>Trong đó: Đàn bò lai</t>
  </si>
  <si>
    <t>- Đàn lợn</t>
  </si>
  <si>
    <t>con/năm</t>
  </si>
  <si>
    <t>Tr.đó: - Đàn lợn có mặt tại thời điểm</t>
  </si>
  <si>
    <t>- Đàn lợn nái sinh sản</t>
  </si>
  <si>
    <t>- Đàn gia cầm</t>
  </si>
  <si>
    <t>- Đàn ong</t>
  </si>
  <si>
    <t>đàn</t>
  </si>
  <si>
    <t>+ Sản lượng mật</t>
  </si>
  <si>
    <t>3. Lâm nghiệp</t>
  </si>
  <si>
    <t>- Tổng diện tích rừng hiện có</t>
  </si>
  <si>
    <t>- Diện tích rừng trồng</t>
  </si>
  <si>
    <t>+ Trong đó trồng mới rừng</t>
  </si>
  <si>
    <t>- Trồng cây phân tán</t>
  </si>
  <si>
    <t>1.000 cây</t>
  </si>
  <si>
    <t>- Chăm sóc rừng</t>
  </si>
  <si>
    <t>+ Trong đó: rừng trồng</t>
  </si>
  <si>
    <t>rừng tự nhiên</t>
  </si>
  <si>
    <t>- Khoanh nuôi tái sinh</t>
  </si>
  <si>
    <t>+ Trong đó: rừng tự nhiên đã giao</t>
  </si>
  <si>
    <t>rừng của các tổ chức</t>
  </si>
  <si>
    <t>- Quản lý bảo vệ rừng</t>
  </si>
  <si>
    <t>- Làm giàu rừng (rừng đã giao cho CĐ)</t>
  </si>
  <si>
    <t>- Quản lý rừng cộng đồng, hộ gia đình</t>
  </si>
  <si>
    <t>- Sản lượng khai thác gỗ</t>
  </si>
  <si>
    <r>
      <t>1.000 m</t>
    </r>
    <r>
      <rPr>
        <vertAlign val="superscript"/>
        <sz val="12"/>
        <rFont val="Times New Roman"/>
        <family val="1"/>
      </rPr>
      <t>3</t>
    </r>
  </si>
  <si>
    <t>Trong đó: + Gỗ rừng tự nhiên:</t>
  </si>
  <si>
    <t xml:space="preserve">   + Gỗ rừng trồng:</t>
  </si>
  <si>
    <t>- G/trị thu hoạch 1ha rừng trồng/chu kỳ</t>
  </si>
  <si>
    <t>Tr. đồng</t>
  </si>
  <si>
    <t>- Tỷ lệ che phủ rừng</t>
  </si>
  <si>
    <t>4. Thủy hải sản</t>
  </si>
  <si>
    <t>- Diện tích nuôi trồng thủy hải sản</t>
  </si>
  <si>
    <t>Trong đó: + Nuôi nước ngọt</t>
  </si>
  <si>
    <t>+ Nuôi lồng:</t>
  </si>
  <si>
    <r>
      <t>m</t>
    </r>
    <r>
      <rPr>
        <vertAlign val="superscript"/>
        <sz val="12"/>
        <rFont val="Times New Roman"/>
        <family val="1"/>
      </rPr>
      <t>3</t>
    </r>
  </si>
  <si>
    <t>- Sản lượng đánh bắt thủy hải sản</t>
  </si>
  <si>
    <t>+ Sông đầm (ao hồ)</t>
  </si>
  <si>
    <t>- Sản lượng nuôi trồng</t>
  </si>
  <si>
    <t>+ Nuôi nước ngọt</t>
  </si>
  <si>
    <t>- Giá trị thu hoạch/ha DT canh tác TS</t>
  </si>
  <si>
    <t>5. Môi trường</t>
  </si>
  <si>
    <t>- Tỷ lệ hộ SD nước sạch (nước an toàn)</t>
  </si>
  <si>
    <t>Trong đó: Thị trấn Khe Tre</t>
  </si>
  <si>
    <t>Xã Hương Phú</t>
  </si>
  <si>
    <t>Xã Hương Lộc</t>
  </si>
  <si>
    <t>Xã Thượng Lộ</t>
  </si>
  <si>
    <t>Xã Hương Hòa</t>
  </si>
  <si>
    <t>Xã Hương Sơn</t>
  </si>
  <si>
    <t>Xã Hương Giang</t>
  </si>
  <si>
    <t>Xã Thượng Nhật</t>
  </si>
  <si>
    <t>Xã Hương Hữu</t>
  </si>
  <si>
    <t>Xã Thượng Long</t>
  </si>
  <si>
    <t>Xã Thượng Quảng</t>
  </si>
  <si>
    <t>- Tỷ lệ hộ nông thôn SD nước HVS</t>
  </si>
  <si>
    <t>PHỤ LỤC I</t>
  </si>
  <si>
    <t>(Kèm theo Báo cáo số:           /BC-UBND ngày          tháng 5 năm 2019 của UBND huyện Nam Đông)</t>
  </si>
  <si>
    <t>CÁC SẢN PHẨM CHỦ YẾU</t>
  </si>
  <si>
    <t>PHỤ LỤC II</t>
  </si>
  <si>
    <t>10,8</t>
  </si>
  <si>
    <t>11,14</t>
  </si>
  <si>
    <t>10,5</t>
  </si>
  <si>
    <t>10,7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</si>
</sst>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₫_-;\-* #,##0.00\ _₫_-;_-* &quot;-&quot;??\ _₫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0;[Red]0.00"/>
    <numFmt numFmtId="168" formatCode="#,##0;[Red]#,##0"/>
    <numFmt numFmtId="169" formatCode="0;[Red]0"/>
    <numFmt numFmtId="170" formatCode="#,##0.0"/>
    <numFmt numFmtId="171" formatCode="_-* #,##0_-;\-* #,##0_-;_-* \-??_-;_-@_-"/>
    <numFmt numFmtId="172" formatCode="_(* #,##0.000_);_(* \(#,##0.000\);_(* &quot;-&quot;??_);_(@_)"/>
    <numFmt numFmtId="173" formatCode="_-* #,##0_-;\-* #,##0_-;_-* &quot;-&quot;??_-;_-@_-"/>
    <numFmt numFmtId="174" formatCode="#,##0.0;[Red]#,##0.0"/>
    <numFmt numFmtId="175" formatCode="#,##0.00;[Red]#,##0.00"/>
    <numFmt numFmtId="176" formatCode="_-* #,##0.0_-;\-* #,##0.0_-;_-* &quot;-&quot;??_-;_-@_-"/>
    <numFmt numFmtId="177" formatCode="#,##0.000;[Red]#,##0.000"/>
    <numFmt numFmtId="178" formatCode="_(* #,##0.000_);_(* \(#,##0.000\);_(* &quot;-&quot;???_);_(@_)"/>
    <numFmt numFmtId="179" formatCode="#.##;[Red]#.##"/>
    <numFmt numFmtId="180" formatCode="_(* #,##0.0_);_(* \(#,##0.0\);_(* &quot;-&quot;?_);_(@_)"/>
    <numFmt numFmtId="181" formatCode="0.0"/>
    <numFmt numFmtId="182" formatCode="_(&quot;$&quot;* #,##0.00_);_(&quot;$&quot;* \(#,##0.00\);_(&quot;$&quot;* &quot;-&quot;??_);_(@_)"/>
    <numFmt numFmtId="183" formatCode="_-* #,##0.0\ _₫_-;\-* #,##0.0\ _₫_-;_-* &quot;-&quot;?\ _₫_-;_-@_-"/>
  </numFmts>
  <fonts count="2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i/>
      <sz val="12"/>
      <name val="Times New Roman"/>
      <family val="1"/>
    </font>
    <font>
      <b/>
      <sz val="12"/>
      <name val=".VnTime"/>
      <family val="2"/>
    </font>
    <font>
      <i/>
      <sz val="12"/>
      <name val=".VnTime"/>
      <family val="2"/>
    </font>
    <font>
      <sz val="11"/>
      <color theme="1"/>
      <name val="Calibri"/>
      <family val="2"/>
      <scheme val="minor"/>
    </font>
    <font>
      <i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1" fontId="2" fillId="0" borderId="0"/>
    <xf numFmtId="164" fontId="4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</cellStyleXfs>
  <cellXfs count="366">
    <xf numFmtId="0" fontId="0" fillId="0" borderId="0" xfId="0"/>
    <xf numFmtId="0" fontId="2" fillId="0" borderId="0" xfId="0" applyFont="1" applyFill="1"/>
    <xf numFmtId="0" fontId="7" fillId="0" borderId="0" xfId="0" applyFont="1" applyFill="1"/>
    <xf numFmtId="49" fontId="6" fillId="0" borderId="9" xfId="0" applyNumberFormat="1" applyFont="1" applyFill="1" applyBorder="1" applyAlignment="1">
      <alignment horizontal="left"/>
    </xf>
    <xf numFmtId="0" fontId="5" fillId="0" borderId="10" xfId="0" applyFont="1" applyFill="1" applyBorder="1"/>
    <xf numFmtId="0" fontId="6" fillId="0" borderId="10" xfId="0" applyFont="1" applyFill="1" applyBorder="1" applyAlignment="1">
      <alignment horizontal="center"/>
    </xf>
    <xf numFmtId="167" fontId="5" fillId="0" borderId="10" xfId="0" applyNumberFormat="1" applyFont="1" applyFill="1" applyBorder="1"/>
    <xf numFmtId="49" fontId="6" fillId="0" borderId="12" xfId="0" applyNumberFormat="1" applyFont="1" applyFill="1" applyBorder="1" applyAlignment="1">
      <alignment horizontal="left"/>
    </xf>
    <xf numFmtId="0" fontId="5" fillId="0" borderId="13" xfId="0" applyFont="1" applyFill="1" applyBorder="1"/>
    <xf numFmtId="166" fontId="6" fillId="0" borderId="13" xfId="1" applyNumberFormat="1" applyFont="1" applyFill="1" applyBorder="1" applyAlignment="1">
      <alignment horizontal="center"/>
    </xf>
    <xf numFmtId="166" fontId="6" fillId="0" borderId="13" xfId="1" applyNumberFormat="1" applyFont="1" applyFill="1" applyBorder="1" applyAlignment="1">
      <alignment horizontal="right"/>
    </xf>
    <xf numFmtId="167" fontId="5" fillId="0" borderId="13" xfId="0" applyNumberFormat="1" applyFont="1" applyFill="1" applyBorder="1"/>
    <xf numFmtId="49" fontId="6" fillId="0" borderId="12" xfId="0" applyNumberFormat="1" applyFont="1" applyFill="1" applyBorder="1"/>
    <xf numFmtId="0" fontId="6" fillId="0" borderId="13" xfId="0" applyFont="1" applyFill="1" applyBorder="1" applyAlignment="1">
      <alignment horizontal="center"/>
    </xf>
    <xf numFmtId="168" fontId="6" fillId="0" borderId="13" xfId="4" applyNumberFormat="1" applyFont="1" applyFill="1" applyBorder="1" applyAlignment="1">
      <alignment horizontal="right"/>
    </xf>
    <xf numFmtId="165" fontId="6" fillId="0" borderId="13" xfId="1" applyNumberFormat="1" applyFont="1" applyFill="1" applyBorder="1"/>
    <xf numFmtId="167" fontId="6" fillId="0" borderId="13" xfId="0" applyNumberFormat="1" applyFont="1" applyFill="1" applyBorder="1"/>
    <xf numFmtId="49" fontId="8" fillId="0" borderId="12" xfId="0" applyNumberFormat="1" applyFont="1" applyFill="1" applyBorder="1" applyAlignment="1">
      <alignment horizontal="left" indent="5"/>
    </xf>
    <xf numFmtId="0" fontId="8" fillId="0" borderId="13" xfId="0" applyFont="1" applyFill="1" applyBorder="1" applyAlignment="1">
      <alignment horizontal="center"/>
    </xf>
    <xf numFmtId="168" fontId="5" fillId="0" borderId="13" xfId="4" applyNumberFormat="1" applyFont="1" applyFill="1" applyBorder="1" applyAlignment="1">
      <alignment horizontal="right"/>
    </xf>
    <xf numFmtId="167" fontId="8" fillId="0" borderId="13" xfId="0" applyNumberFormat="1" applyFont="1" applyFill="1" applyBorder="1"/>
    <xf numFmtId="165" fontId="8" fillId="0" borderId="13" xfId="0" applyNumberFormat="1" applyFont="1" applyFill="1" applyBorder="1"/>
    <xf numFmtId="166" fontId="8" fillId="0" borderId="13" xfId="1" applyNumberFormat="1" applyFont="1" applyFill="1" applyBorder="1"/>
    <xf numFmtId="168" fontId="8" fillId="0" borderId="13" xfId="1" applyNumberFormat="1" applyFont="1" applyFill="1" applyBorder="1" applyAlignment="1">
      <alignment horizontal="right"/>
    </xf>
    <xf numFmtId="166" fontId="6" fillId="0" borderId="13" xfId="1" applyNumberFormat="1" applyFont="1" applyFill="1" applyBorder="1"/>
    <xf numFmtId="169" fontId="8" fillId="0" borderId="13" xfId="0" applyNumberFormat="1" applyFont="1" applyFill="1" applyBorder="1"/>
    <xf numFmtId="168" fontId="5" fillId="0" borderId="13" xfId="0" applyNumberFormat="1" applyFont="1" applyFill="1" applyBorder="1"/>
    <xf numFmtId="164" fontId="6" fillId="0" borderId="13" xfId="1" applyNumberFormat="1" applyFont="1" applyFill="1" applyBorder="1"/>
    <xf numFmtId="168" fontId="6" fillId="0" borderId="13" xfId="0" applyNumberFormat="1" applyFont="1" applyFill="1" applyBorder="1" applyAlignment="1">
      <alignment horizontal="right"/>
    </xf>
    <xf numFmtId="165" fontId="9" fillId="0" borderId="0" xfId="1" applyNumberFormat="1" applyFont="1" applyFill="1"/>
    <xf numFmtId="168" fontId="5" fillId="0" borderId="13" xfId="4" applyNumberFormat="1" applyFont="1" applyFill="1" applyBorder="1" applyAlignment="1" applyProtection="1">
      <alignment horizontal="right" vertical="center"/>
    </xf>
    <xf numFmtId="165" fontId="5" fillId="0" borderId="13" xfId="1" applyNumberFormat="1" applyFont="1" applyFill="1" applyBorder="1"/>
    <xf numFmtId="165" fontId="2" fillId="0" borderId="0" xfId="1" applyNumberFormat="1" applyFont="1" applyFill="1"/>
    <xf numFmtId="49" fontId="6" fillId="0" borderId="12" xfId="0" applyNumberFormat="1" applyFont="1" applyFill="1" applyBorder="1" applyAlignment="1"/>
    <xf numFmtId="164" fontId="5" fillId="0" borderId="13" xfId="1" applyFont="1" applyFill="1" applyBorder="1"/>
    <xf numFmtId="49" fontId="8" fillId="0" borderId="12" xfId="0" applyNumberFormat="1" applyFont="1" applyFill="1" applyBorder="1" applyAlignment="1"/>
    <xf numFmtId="0" fontId="10" fillId="0" borderId="0" xfId="0" applyFont="1" applyFill="1"/>
    <xf numFmtId="166" fontId="6" fillId="0" borderId="12" xfId="1" applyNumberFormat="1" applyFont="1" applyFill="1" applyBorder="1" applyAlignment="1"/>
    <xf numFmtId="164" fontId="5" fillId="0" borderId="14" xfId="1" applyFont="1" applyFill="1" applyBorder="1"/>
    <xf numFmtId="49" fontId="5" fillId="0" borderId="12" xfId="0" applyNumberFormat="1" applyFont="1" applyFill="1" applyBorder="1" applyAlignment="1"/>
    <xf numFmtId="175" fontId="5" fillId="0" borderId="13" xfId="1" applyNumberFormat="1" applyFont="1" applyFill="1" applyBorder="1" applyAlignment="1">
      <alignment horizontal="right"/>
    </xf>
    <xf numFmtId="0" fontId="9" fillId="0" borderId="0" xfId="0" applyFont="1" applyFill="1"/>
    <xf numFmtId="3" fontId="6" fillId="0" borderId="13" xfId="1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/>
    <xf numFmtId="168" fontId="5" fillId="0" borderId="13" xfId="1" applyNumberFormat="1" applyFont="1" applyFill="1" applyBorder="1" applyAlignment="1">
      <alignment vertical="center"/>
    </xf>
    <xf numFmtId="175" fontId="3" fillId="0" borderId="13" xfId="1" applyNumberFormat="1" applyFont="1" applyFill="1" applyBorder="1" applyAlignment="1">
      <alignment horizontal="right"/>
    </xf>
    <xf numFmtId="9" fontId="5" fillId="0" borderId="14" xfId="0" applyNumberFormat="1" applyFont="1" applyFill="1" applyBorder="1"/>
    <xf numFmtId="49" fontId="5" fillId="0" borderId="12" xfId="0" quotePrefix="1" applyNumberFormat="1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indent="1"/>
    </xf>
    <xf numFmtId="3" fontId="6" fillId="0" borderId="13" xfId="0" applyNumberFormat="1" applyFont="1" applyFill="1" applyBorder="1" applyAlignment="1">
      <alignment horizontal="right"/>
    </xf>
    <xf numFmtId="49" fontId="5" fillId="0" borderId="12" xfId="0" applyNumberFormat="1" applyFont="1" applyFill="1" applyBorder="1"/>
    <xf numFmtId="166" fontId="5" fillId="0" borderId="13" xfId="1" applyNumberFormat="1" applyFont="1" applyFill="1" applyBorder="1"/>
    <xf numFmtId="3" fontId="5" fillId="0" borderId="13" xfId="1" applyNumberFormat="1" applyFont="1" applyFill="1" applyBorder="1" applyAlignment="1">
      <alignment horizontal="right" vertical="center"/>
    </xf>
    <xf numFmtId="166" fontId="3" fillId="0" borderId="13" xfId="1" applyNumberFormat="1" applyFont="1" applyFill="1" applyBorder="1"/>
    <xf numFmtId="49" fontId="8" fillId="0" borderId="12" xfId="0" applyNumberFormat="1" applyFont="1" applyFill="1" applyBorder="1" applyAlignment="1">
      <alignment horizontal="left" indent="1"/>
    </xf>
    <xf numFmtId="3" fontId="5" fillId="0" borderId="13" xfId="1" applyNumberFormat="1" applyFont="1" applyFill="1" applyBorder="1" applyAlignment="1">
      <alignment horizontal="right"/>
    </xf>
    <xf numFmtId="170" fontId="5" fillId="0" borderId="13" xfId="0" applyNumberFormat="1" applyFont="1" applyFill="1" applyBorder="1" applyAlignment="1">
      <alignment horizontal="right"/>
    </xf>
    <xf numFmtId="49" fontId="5" fillId="0" borderId="12" xfId="0" quotePrefix="1" applyNumberFormat="1" applyFont="1" applyFill="1" applyBorder="1" applyAlignment="1">
      <alignment horizontal="left" indent="6"/>
    </xf>
    <xf numFmtId="0" fontId="5" fillId="0" borderId="12" xfId="0" applyFont="1" applyFill="1" applyBorder="1"/>
    <xf numFmtId="168" fontId="6" fillId="0" borderId="13" xfId="1" applyNumberFormat="1" applyFont="1" applyFill="1" applyBorder="1" applyAlignment="1">
      <alignment horizontal="right"/>
    </xf>
    <xf numFmtId="168" fontId="5" fillId="0" borderId="13" xfId="1" applyNumberFormat="1" applyFont="1" applyFill="1" applyBorder="1" applyAlignment="1">
      <alignment horizontal="right"/>
    </xf>
    <xf numFmtId="168" fontId="5" fillId="0" borderId="13" xfId="1" applyNumberFormat="1" applyFont="1" applyFill="1" applyBorder="1" applyAlignment="1" applyProtection="1">
      <alignment horizontal="right" vertical="center"/>
    </xf>
    <xf numFmtId="0" fontId="5" fillId="0" borderId="14" xfId="0" applyFont="1" applyFill="1" applyBorder="1"/>
    <xf numFmtId="0" fontId="8" fillId="0" borderId="14" xfId="0" applyFont="1" applyFill="1" applyBorder="1"/>
    <xf numFmtId="49" fontId="5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168" fontId="0" fillId="0" borderId="0" xfId="0" applyNumberFormat="1"/>
    <xf numFmtId="3" fontId="6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/>
    </xf>
    <xf numFmtId="168" fontId="5" fillId="0" borderId="13" xfId="5" applyNumberFormat="1" applyFont="1" applyFill="1" applyBorder="1" applyAlignment="1">
      <alignment horizontal="right" vertical="center"/>
    </xf>
    <xf numFmtId="168" fontId="5" fillId="0" borderId="13" xfId="0" applyNumberFormat="1" applyFont="1" applyFill="1" applyBorder="1" applyAlignment="1"/>
    <xf numFmtId="177" fontId="5" fillId="0" borderId="13" xfId="0" applyNumberFormat="1" applyFont="1" applyFill="1" applyBorder="1"/>
    <xf numFmtId="177" fontId="5" fillId="0" borderId="13" xfId="1" applyNumberFormat="1" applyFont="1" applyFill="1" applyBorder="1" applyAlignment="1">
      <alignment horizontal="right" vertical="center"/>
    </xf>
    <xf numFmtId="177" fontId="5" fillId="0" borderId="13" xfId="6" applyNumberFormat="1" applyFont="1" applyFill="1" applyBorder="1" applyAlignment="1">
      <alignment horizontal="right" vertical="center"/>
    </xf>
    <xf numFmtId="175" fontId="5" fillId="0" borderId="13" xfId="1" applyNumberFormat="1" applyFont="1" applyFill="1" applyBorder="1" applyAlignment="1">
      <alignment horizontal="right" vertical="center"/>
    </xf>
    <xf numFmtId="175" fontId="5" fillId="0" borderId="13" xfId="6" applyNumberFormat="1" applyFont="1" applyFill="1" applyBorder="1" applyAlignment="1">
      <alignment horizontal="right" vertical="center"/>
    </xf>
    <xf numFmtId="168" fontId="5" fillId="0" borderId="13" xfId="1" applyNumberFormat="1" applyFont="1" applyFill="1" applyBorder="1" applyAlignment="1">
      <alignment horizontal="right" vertical="center"/>
    </xf>
    <xf numFmtId="174" fontId="5" fillId="0" borderId="13" xfId="1" applyNumberFormat="1" applyFont="1" applyFill="1" applyBorder="1" applyAlignment="1">
      <alignment horizontal="right" vertical="center"/>
    </xf>
    <xf numFmtId="4" fontId="5" fillId="0" borderId="13" xfId="1" applyNumberFormat="1" applyFont="1" applyFill="1" applyBorder="1" applyAlignment="1">
      <alignment horizontal="right"/>
    </xf>
    <xf numFmtId="170" fontId="5" fillId="0" borderId="13" xfId="1" applyNumberFormat="1" applyFont="1" applyFill="1" applyBorder="1" applyAlignment="1">
      <alignment horizontal="right"/>
    </xf>
    <xf numFmtId="174" fontId="5" fillId="0" borderId="13" xfId="1" applyNumberFormat="1" applyFont="1" applyFill="1" applyBorder="1" applyAlignment="1">
      <alignment horizontal="right"/>
    </xf>
    <xf numFmtId="49" fontId="5" fillId="0" borderId="15" xfId="0" applyNumberFormat="1" applyFont="1" applyFill="1" applyBorder="1"/>
    <xf numFmtId="0" fontId="5" fillId="0" borderId="16" xfId="0" applyFont="1" applyFill="1" applyBorder="1" applyAlignment="1">
      <alignment horizontal="center"/>
    </xf>
    <xf numFmtId="174" fontId="5" fillId="0" borderId="16" xfId="1" applyNumberFormat="1" applyFont="1" applyFill="1" applyBorder="1" applyAlignment="1">
      <alignment horizontal="right" vertical="center"/>
    </xf>
    <xf numFmtId="164" fontId="6" fillId="0" borderId="16" xfId="1" applyFont="1" applyFill="1" applyBorder="1"/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/>
    <xf numFmtId="165" fontId="0" fillId="0" borderId="0" xfId="0" applyNumberFormat="1"/>
    <xf numFmtId="1" fontId="6" fillId="0" borderId="20" xfId="3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5" fillId="2" borderId="13" xfId="0" applyFont="1" applyFill="1" applyBorder="1"/>
    <xf numFmtId="164" fontId="6" fillId="2" borderId="13" xfId="1" applyFont="1" applyFill="1" applyBorder="1"/>
    <xf numFmtId="176" fontId="5" fillId="2" borderId="13" xfId="0" applyNumberFormat="1" applyFont="1" applyFill="1" applyBorder="1" applyAlignment="1">
      <alignment horizontal="right"/>
    </xf>
    <xf numFmtId="177" fontId="5" fillId="2" borderId="13" xfId="0" applyNumberFormat="1" applyFont="1" applyFill="1" applyBorder="1"/>
    <xf numFmtId="177" fontId="5" fillId="2" borderId="13" xfId="1" applyNumberFormat="1" applyFont="1" applyFill="1" applyBorder="1" applyAlignment="1">
      <alignment horizontal="right" vertical="center"/>
    </xf>
    <xf numFmtId="172" fontId="6" fillId="2" borderId="13" xfId="1" applyNumberFormat="1" applyFont="1" applyFill="1" applyBorder="1"/>
    <xf numFmtId="0" fontId="5" fillId="2" borderId="13" xfId="0" applyFont="1" applyFill="1" applyBorder="1" applyAlignment="1">
      <alignment horizontal="right"/>
    </xf>
    <xf numFmtId="175" fontId="5" fillId="2" borderId="13" xfId="6" applyNumberFormat="1" applyFont="1" applyFill="1" applyBorder="1" applyAlignment="1">
      <alignment horizontal="right" vertical="center"/>
    </xf>
    <xf numFmtId="168" fontId="5" fillId="2" borderId="13" xfId="0" applyNumberFormat="1" applyFont="1" applyFill="1" applyBorder="1"/>
    <xf numFmtId="168" fontId="5" fillId="2" borderId="13" xfId="1" applyNumberFormat="1" applyFont="1" applyFill="1" applyBorder="1" applyAlignment="1">
      <alignment horizontal="right" vertical="center"/>
    </xf>
    <xf numFmtId="178" fontId="5" fillId="2" borderId="13" xfId="0" applyNumberFormat="1" applyFont="1" applyFill="1" applyBorder="1" applyAlignment="1">
      <alignment horizontal="right"/>
    </xf>
    <xf numFmtId="170" fontId="5" fillId="2" borderId="13" xfId="1" applyNumberFormat="1" applyFont="1" applyFill="1" applyBorder="1" applyAlignment="1">
      <alignment horizontal="right"/>
    </xf>
    <xf numFmtId="174" fontId="5" fillId="2" borderId="13" xfId="1" applyNumberFormat="1" applyFont="1" applyFill="1" applyBorder="1" applyAlignment="1">
      <alignment horizontal="right"/>
    </xf>
    <xf numFmtId="174" fontId="5" fillId="2" borderId="13" xfId="1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/>
    </xf>
    <xf numFmtId="168" fontId="5" fillId="2" borderId="13" xfId="1" applyNumberFormat="1" applyFont="1" applyFill="1" applyBorder="1" applyAlignment="1">
      <alignment horizontal="right"/>
    </xf>
    <xf numFmtId="168" fontId="8" fillId="2" borderId="13" xfId="4" applyNumberFormat="1" applyFont="1" applyFill="1" applyBorder="1" applyAlignment="1">
      <alignment horizontal="right"/>
    </xf>
    <xf numFmtId="168" fontId="5" fillId="2" borderId="13" xfId="4" applyNumberFormat="1" applyFont="1" applyFill="1" applyBorder="1" applyAlignment="1">
      <alignment horizontal="right"/>
    </xf>
    <xf numFmtId="165" fontId="5" fillId="2" borderId="13" xfId="1" applyNumberFormat="1" applyFont="1" applyFill="1" applyBorder="1"/>
    <xf numFmtId="168" fontId="8" fillId="2" borderId="13" xfId="1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/>
    </xf>
    <xf numFmtId="168" fontId="6" fillId="2" borderId="13" xfId="1" applyNumberFormat="1" applyFont="1" applyFill="1" applyBorder="1" applyAlignment="1">
      <alignment horizontal="right"/>
    </xf>
    <xf numFmtId="3" fontId="6" fillId="2" borderId="13" xfId="4" applyNumberFormat="1" applyFont="1" applyFill="1" applyBorder="1" applyAlignment="1">
      <alignment horizontal="right"/>
    </xf>
    <xf numFmtId="168" fontId="6" fillId="2" borderId="13" xfId="4" applyNumberFormat="1" applyFont="1" applyFill="1" applyBorder="1" applyAlignment="1">
      <alignment horizontal="right"/>
    </xf>
    <xf numFmtId="165" fontId="6" fillId="2" borderId="13" xfId="1" applyNumberFormat="1" applyFont="1" applyFill="1" applyBorder="1"/>
    <xf numFmtId="168" fontId="6" fillId="2" borderId="13" xfId="1" applyNumberFormat="1" applyFont="1" applyFill="1" applyBorder="1" applyAlignment="1"/>
    <xf numFmtId="164" fontId="6" fillId="2" borderId="13" xfId="1" applyFont="1" applyFill="1" applyBorder="1" applyAlignment="1">
      <alignment horizontal="right"/>
    </xf>
    <xf numFmtId="168" fontId="6" fillId="2" borderId="13" xfId="0" applyNumberFormat="1" applyFont="1" applyFill="1" applyBorder="1" applyAlignment="1">
      <alignment horizontal="right"/>
    </xf>
    <xf numFmtId="172" fontId="6" fillId="2" borderId="13" xfId="1" applyNumberFormat="1" applyFont="1" applyFill="1" applyBorder="1" applyAlignment="1">
      <alignment horizontal="right"/>
    </xf>
    <xf numFmtId="9" fontId="5" fillId="2" borderId="13" xfId="0" applyNumberFormat="1" applyFont="1" applyFill="1" applyBorder="1"/>
    <xf numFmtId="172" fontId="5" fillId="2" borderId="13" xfId="1" applyNumberFormat="1" applyFont="1" applyFill="1" applyBorder="1"/>
    <xf numFmtId="173" fontId="8" fillId="2" borderId="13" xfId="1" applyNumberFormat="1" applyFont="1" applyFill="1" applyBorder="1" applyAlignment="1">
      <alignment horizontal="center" vertical="center" wrapText="1"/>
    </xf>
    <xf numFmtId="168" fontId="8" fillId="2" borderId="13" xfId="1" applyNumberFormat="1" applyFont="1" applyFill="1" applyBorder="1" applyAlignment="1" applyProtection="1">
      <alignment horizontal="right" vertical="center"/>
    </xf>
    <xf numFmtId="168" fontId="8" fillId="2" borderId="13" xfId="0" applyNumberFormat="1" applyFont="1" applyFill="1" applyBorder="1" applyAlignment="1">
      <alignment horizontal="right"/>
    </xf>
    <xf numFmtId="167" fontId="8" fillId="2" borderId="13" xfId="0" applyNumberFormat="1" applyFont="1" applyFill="1" applyBorder="1"/>
    <xf numFmtId="172" fontId="8" fillId="2" borderId="13" xfId="1" applyNumberFormat="1" applyFont="1" applyFill="1" applyBorder="1"/>
    <xf numFmtId="164" fontId="8" fillId="2" borderId="13" xfId="1" applyFont="1" applyFill="1" applyBorder="1" applyAlignment="1" applyProtection="1">
      <alignment horizontal="center" vertical="center"/>
    </xf>
    <xf numFmtId="168" fontId="6" fillId="2" borderId="13" xfId="1" applyNumberFormat="1" applyFont="1" applyFill="1" applyBorder="1" applyAlignment="1" applyProtection="1">
      <alignment horizontal="right" vertical="center"/>
    </xf>
    <xf numFmtId="166" fontId="6" fillId="2" borderId="13" xfId="1" applyNumberFormat="1" applyFont="1" applyFill="1" applyBorder="1" applyAlignment="1" applyProtection="1">
      <alignment horizontal="center" vertical="center"/>
    </xf>
    <xf numFmtId="164" fontId="6" fillId="2" borderId="13" xfId="1" applyFont="1" applyFill="1" applyBorder="1" applyAlignment="1" applyProtection="1">
      <alignment horizontal="center" vertical="center"/>
    </xf>
    <xf numFmtId="168" fontId="8" fillId="2" borderId="13" xfId="1" applyNumberFormat="1" applyFont="1" applyFill="1" applyBorder="1" applyAlignment="1" applyProtection="1">
      <alignment horizontal="right" vertical="center" wrapText="1"/>
    </xf>
    <xf numFmtId="164" fontId="8" fillId="2" borderId="13" xfId="1" applyFont="1" applyFill="1" applyBorder="1" applyAlignment="1" applyProtection="1">
      <alignment horizontal="right" vertical="center" wrapText="1"/>
    </xf>
    <xf numFmtId="171" fontId="8" fillId="2" borderId="13" xfId="1" applyNumberFormat="1" applyFont="1" applyFill="1" applyBorder="1" applyAlignment="1" applyProtection="1">
      <alignment horizontal="center" vertical="center"/>
    </xf>
    <xf numFmtId="173" fontId="6" fillId="2" borderId="13" xfId="1" applyNumberFormat="1" applyFont="1" applyFill="1" applyBorder="1" applyAlignment="1">
      <alignment horizontal="center" vertical="center" wrapText="1"/>
    </xf>
    <xf numFmtId="171" fontId="6" fillId="2" borderId="13" xfId="1" applyNumberFormat="1" applyFont="1" applyFill="1" applyBorder="1" applyAlignment="1" applyProtection="1">
      <alignment horizontal="center" vertical="center"/>
    </xf>
    <xf numFmtId="164" fontId="3" fillId="2" borderId="13" xfId="4" applyFont="1" applyFill="1" applyBorder="1" applyAlignment="1">
      <alignment horizontal="center" vertical="center"/>
    </xf>
    <xf numFmtId="164" fontId="6" fillId="2" borderId="13" xfId="4" applyFont="1" applyFill="1" applyBorder="1" applyAlignment="1">
      <alignment horizontal="right"/>
    </xf>
    <xf numFmtId="164" fontId="5" fillId="2" borderId="13" xfId="1" applyFont="1" applyFill="1" applyBorder="1"/>
    <xf numFmtId="3" fontId="5" fillId="2" borderId="13" xfId="0" applyNumberFormat="1" applyFont="1" applyFill="1" applyBorder="1" applyAlignment="1">
      <alignment horizontal="center"/>
    </xf>
    <xf numFmtId="165" fontId="6" fillId="2" borderId="13" xfId="4" applyNumberFormat="1" applyFont="1" applyFill="1" applyBorder="1" applyAlignment="1">
      <alignment horizontal="right"/>
    </xf>
    <xf numFmtId="174" fontId="6" fillId="2" borderId="13" xfId="1" applyNumberFormat="1" applyFont="1" applyFill="1" applyBorder="1" applyAlignment="1">
      <alignment horizontal="right"/>
    </xf>
    <xf numFmtId="4" fontId="5" fillId="2" borderId="13" xfId="0" applyNumberFormat="1" applyFont="1" applyFill="1" applyBorder="1" applyAlignment="1">
      <alignment horizontal="center"/>
    </xf>
    <xf numFmtId="165" fontId="5" fillId="2" borderId="13" xfId="4" applyNumberFormat="1" applyFont="1" applyFill="1" applyBorder="1" applyAlignment="1">
      <alignment horizontal="right"/>
    </xf>
    <xf numFmtId="175" fontId="5" fillId="2" borderId="13" xfId="1" applyNumberFormat="1" applyFont="1" applyFill="1" applyBorder="1" applyAlignment="1">
      <alignment horizontal="right"/>
    </xf>
    <xf numFmtId="166" fontId="5" fillId="2" borderId="13" xfId="0" applyNumberFormat="1" applyFont="1" applyFill="1" applyBorder="1"/>
    <xf numFmtId="173" fontId="6" fillId="2" borderId="13" xfId="1" applyNumberFormat="1" applyFont="1" applyFill="1" applyBorder="1" applyAlignment="1">
      <alignment horizontal="center"/>
    </xf>
    <xf numFmtId="166" fontId="6" fillId="2" borderId="13" xfId="1" applyNumberFormat="1" applyFont="1" applyFill="1" applyBorder="1"/>
    <xf numFmtId="166" fontId="6" fillId="2" borderId="13" xfId="1" applyNumberFormat="1" applyFont="1" applyFill="1" applyBorder="1" applyAlignment="1">
      <alignment horizontal="right"/>
    </xf>
    <xf numFmtId="168" fontId="6" fillId="2" borderId="13" xfId="1" applyNumberFormat="1" applyFont="1" applyFill="1" applyBorder="1" applyAlignment="1" applyProtection="1">
      <alignment vertical="center"/>
    </xf>
    <xf numFmtId="0" fontId="6" fillId="2" borderId="13" xfId="0" applyFont="1" applyFill="1" applyBorder="1"/>
    <xf numFmtId="164" fontId="3" fillId="2" borderId="13" xfId="1" applyFont="1" applyFill="1" applyBorder="1"/>
    <xf numFmtId="3" fontId="6" fillId="2" borderId="13" xfId="1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center" vertical="center" wrapText="1"/>
    </xf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165" fontId="6" fillId="0" borderId="14" xfId="1" applyNumberFormat="1" applyFont="1" applyFill="1" applyBorder="1"/>
    <xf numFmtId="165" fontId="5" fillId="0" borderId="14" xfId="1" applyNumberFormat="1" applyFont="1" applyFill="1" applyBorder="1"/>
    <xf numFmtId="167" fontId="8" fillId="0" borderId="14" xfId="0" applyNumberFormat="1" applyFont="1" applyFill="1" applyBorder="1"/>
    <xf numFmtId="164" fontId="8" fillId="0" borderId="14" xfId="1" applyFont="1" applyFill="1" applyBorder="1" applyAlignment="1" applyProtection="1">
      <alignment horizontal="center" vertical="center"/>
    </xf>
    <xf numFmtId="164" fontId="8" fillId="0" borderId="14" xfId="1" applyFont="1" applyFill="1" applyBorder="1" applyAlignment="1" applyProtection="1">
      <alignment horizontal="right" vertical="center" wrapText="1"/>
    </xf>
    <xf numFmtId="171" fontId="8" fillId="0" borderId="14" xfId="1" applyNumberFormat="1" applyFont="1" applyFill="1" applyBorder="1" applyAlignment="1" applyProtection="1">
      <alignment horizontal="center" vertical="center"/>
    </xf>
    <xf numFmtId="171" fontId="6" fillId="0" borderId="14" xfId="1" applyNumberFormat="1" applyFont="1" applyFill="1" applyBorder="1" applyAlignment="1" applyProtection="1">
      <alignment horizontal="center" vertical="center"/>
    </xf>
    <xf numFmtId="164" fontId="3" fillId="0" borderId="14" xfId="1" applyFont="1" applyFill="1" applyBorder="1"/>
    <xf numFmtId="175" fontId="3" fillId="0" borderId="14" xfId="1" applyNumberFormat="1" applyFont="1" applyFill="1" applyBorder="1" applyAlignment="1">
      <alignment horizontal="right"/>
    </xf>
    <xf numFmtId="178" fontId="5" fillId="0" borderId="14" xfId="0" applyNumberFormat="1" applyFont="1" applyFill="1" applyBorder="1"/>
    <xf numFmtId="0" fontId="4" fillId="0" borderId="0" xfId="7"/>
    <xf numFmtId="180" fontId="4" fillId="0" borderId="0" xfId="7" applyNumberFormat="1"/>
    <xf numFmtId="0" fontId="4" fillId="2" borderId="0" xfId="7" applyFill="1"/>
    <xf numFmtId="165" fontId="5" fillId="0" borderId="35" xfId="4" applyNumberFormat="1" applyFont="1" applyFill="1" applyBorder="1" applyAlignment="1">
      <alignment vertical="center"/>
    </xf>
    <xf numFmtId="165" fontId="5" fillId="2" borderId="35" xfId="1" applyNumberFormat="1" applyFont="1" applyFill="1" applyBorder="1" applyAlignment="1">
      <alignment vertical="center"/>
    </xf>
    <xf numFmtId="181" fontId="5" fillId="0" borderId="36" xfId="8" applyNumberFormat="1" applyFont="1" applyBorder="1" applyAlignment="1">
      <alignment vertical="center"/>
    </xf>
    <xf numFmtId="165" fontId="5" fillId="0" borderId="36" xfId="4" applyNumberFormat="1" applyFont="1" applyBorder="1" applyAlignment="1">
      <alignment vertical="center"/>
    </xf>
    <xf numFmtId="165" fontId="5" fillId="0" borderId="35" xfId="4" applyNumberFormat="1" applyFont="1" applyBorder="1" applyAlignment="1">
      <alignment vertical="center"/>
    </xf>
    <xf numFmtId="165" fontId="5" fillId="0" borderId="39" xfId="4" applyNumberFormat="1" applyFont="1" applyBorder="1" applyAlignment="1">
      <alignment vertical="center"/>
    </xf>
    <xf numFmtId="165" fontId="5" fillId="0" borderId="39" xfId="4" applyNumberFormat="1" applyFont="1" applyFill="1" applyBorder="1" applyAlignment="1">
      <alignment vertical="center"/>
    </xf>
    <xf numFmtId="165" fontId="5" fillId="2" borderId="39" xfId="1" applyNumberFormat="1" applyFont="1" applyFill="1" applyBorder="1" applyAlignment="1">
      <alignment vertical="center"/>
    </xf>
    <xf numFmtId="181" fontId="5" fillId="0" borderId="40" xfId="8" applyNumberFormat="1" applyFont="1" applyBorder="1" applyAlignment="1">
      <alignment vertical="center"/>
    </xf>
    <xf numFmtId="165" fontId="5" fillId="0" borderId="40" xfId="4" applyNumberFormat="1" applyFont="1" applyBorder="1" applyAlignment="1">
      <alignment vertical="center"/>
    </xf>
    <xf numFmtId="165" fontId="5" fillId="0" borderId="43" xfId="4" applyNumberFormat="1" applyFont="1" applyBorder="1" applyAlignment="1">
      <alignment vertical="center"/>
    </xf>
    <xf numFmtId="165" fontId="5" fillId="0" borderId="43" xfId="4" applyNumberFormat="1" applyFont="1" applyFill="1" applyBorder="1" applyAlignment="1">
      <alignment vertical="center"/>
    </xf>
    <xf numFmtId="165" fontId="5" fillId="2" borderId="43" xfId="1" applyNumberFormat="1" applyFont="1" applyFill="1" applyBorder="1" applyAlignment="1">
      <alignment horizontal="right" vertical="center"/>
    </xf>
    <xf numFmtId="181" fontId="5" fillId="0" borderId="44" xfId="8" applyNumberFormat="1" applyFont="1" applyBorder="1" applyAlignment="1">
      <alignment vertical="center"/>
    </xf>
    <xf numFmtId="165" fontId="5" fillId="0" borderId="44" xfId="4" applyNumberFormat="1" applyFont="1" applyBorder="1" applyAlignment="1">
      <alignment vertical="center"/>
    </xf>
    <xf numFmtId="165" fontId="5" fillId="0" borderId="29" xfId="4" applyNumberFormat="1" applyFont="1" applyBorder="1" applyAlignment="1">
      <alignment vertical="center"/>
    </xf>
    <xf numFmtId="182" fontId="5" fillId="0" borderId="29" xfId="9" applyFont="1" applyFill="1" applyBorder="1" applyAlignment="1">
      <alignment vertical="center"/>
    </xf>
    <xf numFmtId="165" fontId="5" fillId="2" borderId="29" xfId="1" applyNumberFormat="1" applyFont="1" applyFill="1" applyBorder="1" applyAlignment="1">
      <alignment vertical="center"/>
    </xf>
    <xf numFmtId="165" fontId="5" fillId="0" borderId="46" xfId="4" applyNumberFormat="1" applyFont="1" applyBorder="1" applyAlignment="1">
      <alignment vertical="center"/>
    </xf>
    <xf numFmtId="181" fontId="5" fillId="0" borderId="35" xfId="8" applyNumberFormat="1" applyFont="1" applyBorder="1" applyAlignment="1">
      <alignment vertical="center"/>
    </xf>
    <xf numFmtId="181" fontId="5" fillId="0" borderId="39" xfId="8" applyNumberFormat="1" applyFont="1" applyBorder="1" applyAlignment="1">
      <alignment vertical="center"/>
    </xf>
    <xf numFmtId="165" fontId="5" fillId="2" borderId="43" xfId="1" applyNumberFormat="1" applyFont="1" applyFill="1" applyBorder="1" applyAlignment="1">
      <alignment vertical="center"/>
    </xf>
    <xf numFmtId="181" fontId="5" fillId="0" borderId="43" xfId="8" applyNumberFormat="1" applyFont="1" applyBorder="1" applyAlignment="1">
      <alignment vertical="center"/>
    </xf>
    <xf numFmtId="165" fontId="5" fillId="0" borderId="49" xfId="4" applyNumberFormat="1" applyFont="1" applyBorder="1" applyAlignment="1">
      <alignment vertical="center"/>
    </xf>
    <xf numFmtId="165" fontId="5" fillId="0" borderId="49" xfId="4" applyNumberFormat="1" applyFont="1" applyFill="1" applyBorder="1" applyAlignment="1">
      <alignment vertical="center"/>
    </xf>
    <xf numFmtId="165" fontId="5" fillId="2" borderId="49" xfId="1" applyNumberFormat="1" applyFont="1" applyFill="1" applyBorder="1" applyAlignment="1">
      <alignment vertical="center"/>
    </xf>
    <xf numFmtId="181" fontId="5" fillId="0" borderId="49" xfId="8" applyNumberFormat="1" applyFont="1" applyBorder="1" applyAlignment="1">
      <alignment vertical="center"/>
    </xf>
    <xf numFmtId="164" fontId="5" fillId="0" borderId="43" xfId="8" applyNumberFormat="1" applyFont="1" applyBorder="1" applyAlignment="1">
      <alignment horizontal="center" vertical="center"/>
    </xf>
    <xf numFmtId="164" fontId="5" fillId="0" borderId="43" xfId="4" applyNumberFormat="1" applyFont="1" applyFill="1" applyBorder="1" applyAlignment="1">
      <alignment vertical="center"/>
    </xf>
    <xf numFmtId="164" fontId="5" fillId="2" borderId="43" xfId="8" applyNumberFormat="1" applyFont="1" applyFill="1" applyBorder="1" applyAlignment="1">
      <alignment horizontal="center" vertical="center"/>
    </xf>
    <xf numFmtId="164" fontId="5" fillId="0" borderId="28" xfId="8" applyNumberFormat="1" applyFont="1" applyBorder="1" applyAlignment="1">
      <alignment horizontal="center" vertical="center"/>
    </xf>
    <xf numFmtId="164" fontId="5" fillId="0" borderId="28" xfId="4" applyNumberFormat="1" applyFont="1" applyFill="1" applyBorder="1" applyAlignment="1">
      <alignment vertical="center"/>
    </xf>
    <xf numFmtId="164" fontId="5" fillId="2" borderId="28" xfId="8" applyNumberFormat="1" applyFont="1" applyFill="1" applyBorder="1" applyAlignment="1">
      <alignment horizontal="center" vertical="center"/>
    </xf>
    <xf numFmtId="164" fontId="5" fillId="0" borderId="33" xfId="8" applyNumberFormat="1" applyFont="1" applyBorder="1" applyAlignment="1">
      <alignment horizontal="center" vertical="center"/>
    </xf>
    <xf numFmtId="165" fontId="6" fillId="0" borderId="28" xfId="4" applyNumberFormat="1" applyFont="1" applyBorder="1" applyAlignment="1">
      <alignment vertical="center"/>
    </xf>
    <xf numFmtId="165" fontId="6" fillId="0" borderId="28" xfId="4" applyNumberFormat="1" applyFont="1" applyFill="1" applyBorder="1" applyAlignment="1">
      <alignment vertical="center"/>
    </xf>
    <xf numFmtId="165" fontId="6" fillId="2" borderId="28" xfId="1" applyNumberFormat="1" applyFont="1" applyFill="1" applyBorder="1" applyAlignment="1">
      <alignment vertical="center"/>
    </xf>
    <xf numFmtId="165" fontId="6" fillId="0" borderId="33" xfId="4" applyNumberFormat="1" applyFont="1" applyBorder="1" applyAlignment="1">
      <alignment vertical="center"/>
    </xf>
    <xf numFmtId="166" fontId="5" fillId="0" borderId="49" xfId="4" applyNumberFormat="1" applyFont="1" applyBorder="1" applyAlignment="1">
      <alignment horizontal="center" vertical="center"/>
    </xf>
    <xf numFmtId="166" fontId="5" fillId="0" borderId="49" xfId="4" applyNumberFormat="1" applyFont="1" applyFill="1" applyBorder="1" applyAlignment="1">
      <alignment vertical="center"/>
    </xf>
    <xf numFmtId="166" fontId="5" fillId="2" borderId="49" xfId="4" applyNumberFormat="1" applyFont="1" applyFill="1" applyBorder="1" applyAlignment="1">
      <alignment horizontal="center" vertical="center"/>
    </xf>
    <xf numFmtId="181" fontId="5" fillId="0" borderId="51" xfId="8" applyNumberFormat="1" applyFont="1" applyBorder="1" applyAlignment="1">
      <alignment vertical="center"/>
    </xf>
    <xf numFmtId="165" fontId="5" fillId="0" borderId="51" xfId="4" applyNumberFormat="1" applyFont="1" applyBorder="1" applyAlignment="1">
      <alignment vertical="center"/>
    </xf>
    <xf numFmtId="166" fontId="5" fillId="0" borderId="39" xfId="4" applyNumberFormat="1" applyFont="1" applyBorder="1" applyAlignment="1">
      <alignment horizontal="center" vertical="center"/>
    </xf>
    <xf numFmtId="166" fontId="5" fillId="0" borderId="39" xfId="4" applyNumberFormat="1" applyFont="1" applyFill="1" applyBorder="1" applyAlignment="1">
      <alignment vertical="center"/>
    </xf>
    <xf numFmtId="166" fontId="5" fillId="2" borderId="39" xfId="4" applyNumberFormat="1" applyFont="1" applyFill="1" applyBorder="1" applyAlignment="1">
      <alignment horizontal="center" vertical="center"/>
    </xf>
    <xf numFmtId="165" fontId="5" fillId="0" borderId="39" xfId="4" applyNumberFormat="1" applyFont="1" applyBorder="1" applyAlignment="1">
      <alignment horizontal="center" vertical="center"/>
    </xf>
    <xf numFmtId="165" fontId="5" fillId="2" borderId="39" xfId="1" applyNumberFormat="1" applyFont="1" applyFill="1" applyBorder="1" applyAlignment="1">
      <alignment horizontal="center" vertical="center"/>
    </xf>
    <xf numFmtId="165" fontId="5" fillId="0" borderId="43" xfId="4" applyNumberFormat="1" applyFont="1" applyBorder="1" applyAlignment="1">
      <alignment horizontal="center" vertical="center"/>
    </xf>
    <xf numFmtId="165" fontId="5" fillId="2" borderId="43" xfId="1" applyNumberFormat="1" applyFont="1" applyFill="1" applyBorder="1" applyAlignment="1">
      <alignment horizontal="center" vertical="center"/>
    </xf>
    <xf numFmtId="165" fontId="5" fillId="0" borderId="45" xfId="4" applyNumberFormat="1" applyFont="1" applyBorder="1" applyAlignment="1">
      <alignment horizontal="center" vertical="center"/>
    </xf>
    <xf numFmtId="165" fontId="5" fillId="0" borderId="29" xfId="4" applyNumberFormat="1" applyFont="1" applyBorder="1" applyAlignment="1">
      <alignment horizontal="center" vertical="center"/>
    </xf>
    <xf numFmtId="165" fontId="5" fillId="0" borderId="29" xfId="4" applyNumberFormat="1" applyFont="1" applyFill="1" applyBorder="1" applyAlignment="1">
      <alignment vertical="center"/>
    </xf>
    <xf numFmtId="165" fontId="5" fillId="2" borderId="29" xfId="1" applyNumberFormat="1" applyFont="1" applyFill="1" applyBorder="1" applyAlignment="1">
      <alignment horizontal="center" vertical="center"/>
    </xf>
    <xf numFmtId="181" fontId="5" fillId="0" borderId="29" xfId="8" applyNumberFormat="1" applyFont="1" applyBorder="1" applyAlignment="1">
      <alignment vertical="center"/>
    </xf>
    <xf numFmtId="165" fontId="5" fillId="0" borderId="41" xfId="4" applyNumberFormat="1" applyFont="1" applyBorder="1" applyAlignment="1">
      <alignment horizontal="center" vertical="center"/>
    </xf>
    <xf numFmtId="164" fontId="5" fillId="0" borderId="39" xfId="4" applyFont="1" applyBorder="1" applyAlignment="1">
      <alignment horizontal="center" vertical="center"/>
    </xf>
    <xf numFmtId="164" fontId="5" fillId="2" borderId="39" xfId="1" applyFont="1" applyFill="1" applyBorder="1" applyAlignment="1">
      <alignment horizontal="center" vertical="center"/>
    </xf>
    <xf numFmtId="165" fontId="5" fillId="0" borderId="28" xfId="4" applyNumberFormat="1" applyFont="1" applyBorder="1" applyAlignment="1">
      <alignment horizontal="center" vertical="center"/>
    </xf>
    <xf numFmtId="165" fontId="5" fillId="0" borderId="28" xfId="4" applyNumberFormat="1" applyFont="1" applyFill="1" applyBorder="1" applyAlignment="1">
      <alignment vertical="center"/>
    </xf>
    <xf numFmtId="165" fontId="5" fillId="2" borderId="28" xfId="1" applyNumberFormat="1" applyFont="1" applyFill="1" applyBorder="1" applyAlignment="1">
      <alignment horizontal="center" vertical="center"/>
    </xf>
    <xf numFmtId="181" fontId="5" fillId="0" borderId="33" xfId="8" applyNumberFormat="1" applyFont="1" applyBorder="1" applyAlignment="1">
      <alignment vertical="center"/>
    </xf>
    <xf numFmtId="165" fontId="5" fillId="0" borderId="33" xfId="4" applyNumberFormat="1" applyFont="1" applyBorder="1" applyAlignment="1">
      <alignment vertical="center"/>
    </xf>
    <xf numFmtId="165" fontId="5" fillId="0" borderId="28" xfId="4" applyNumberFormat="1" applyFont="1" applyBorder="1" applyAlignment="1">
      <alignment vertical="center"/>
    </xf>
    <xf numFmtId="165" fontId="5" fillId="0" borderId="49" xfId="8" applyNumberFormat="1" applyFont="1" applyBorder="1" applyAlignment="1">
      <alignment horizontal="center" vertical="center"/>
    </xf>
    <xf numFmtId="165" fontId="5" fillId="2" borderId="49" xfId="8" applyNumberFormat="1" applyFont="1" applyFill="1" applyBorder="1" applyAlignment="1">
      <alignment horizontal="center" vertical="center"/>
    </xf>
    <xf numFmtId="165" fontId="5" fillId="0" borderId="54" xfId="4" applyNumberFormat="1" applyFont="1" applyFill="1" applyBorder="1" applyAlignment="1">
      <alignment vertical="center"/>
    </xf>
    <xf numFmtId="165" fontId="5" fillId="0" borderId="54" xfId="4" applyNumberFormat="1" applyFont="1" applyBorder="1" applyAlignment="1">
      <alignment horizontal="center" vertical="center"/>
    </xf>
    <xf numFmtId="181" fontId="5" fillId="0" borderId="55" xfId="8" applyNumberFormat="1" applyFont="1" applyBorder="1" applyAlignment="1">
      <alignment vertical="center"/>
    </xf>
    <xf numFmtId="165" fontId="5" fillId="0" borderId="55" xfId="4" applyNumberFormat="1" applyFont="1" applyBorder="1" applyAlignment="1">
      <alignment vertical="center"/>
    </xf>
    <xf numFmtId="165" fontId="5" fillId="0" borderId="54" xfId="4" applyNumberFormat="1" applyFont="1" applyBorder="1" applyAlignment="1">
      <alignment vertical="center"/>
    </xf>
    <xf numFmtId="9" fontId="5" fillId="0" borderId="35" xfId="8" applyFont="1" applyBorder="1" applyAlignment="1">
      <alignment horizontal="center" vertical="center"/>
    </xf>
    <xf numFmtId="9" fontId="5" fillId="2" borderId="35" xfId="8" applyFont="1" applyFill="1" applyBorder="1" applyAlignment="1">
      <alignment horizontal="center" vertical="center"/>
    </xf>
    <xf numFmtId="9" fontId="5" fillId="0" borderId="43" xfId="8" applyFont="1" applyBorder="1" applyAlignment="1">
      <alignment horizontal="center" vertical="center"/>
    </xf>
    <xf numFmtId="9" fontId="5" fillId="2" borderId="43" xfId="8" applyFont="1" applyFill="1" applyBorder="1" applyAlignment="1">
      <alignment horizontal="center" vertical="center"/>
    </xf>
    <xf numFmtId="165" fontId="5" fillId="0" borderId="49" xfId="4" applyNumberFormat="1" applyFont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165" fontId="5" fillId="2" borderId="35" xfId="4" applyNumberFormat="1" applyFont="1" applyFill="1" applyBorder="1" applyAlignment="1">
      <alignment vertical="center"/>
    </xf>
    <xf numFmtId="165" fontId="17" fillId="0" borderId="37" xfId="4" applyNumberFormat="1" applyFont="1" applyBorder="1" applyAlignment="1">
      <alignment vertical="center"/>
    </xf>
    <xf numFmtId="165" fontId="5" fillId="2" borderId="39" xfId="4" applyNumberFormat="1" applyFont="1" applyFill="1" applyBorder="1" applyAlignment="1">
      <alignment vertical="center"/>
    </xf>
    <xf numFmtId="165" fontId="17" fillId="0" borderId="41" xfId="4" applyNumberFormat="1" applyFont="1" applyBorder="1" applyAlignment="1">
      <alignment vertical="center"/>
    </xf>
    <xf numFmtId="165" fontId="4" fillId="0" borderId="41" xfId="4" applyNumberFormat="1" applyFont="1" applyBorder="1" applyAlignment="1">
      <alignment vertical="center"/>
    </xf>
    <xf numFmtId="165" fontId="5" fillId="2" borderId="54" xfId="1" applyNumberFormat="1" applyFont="1" applyFill="1" applyBorder="1" applyAlignment="1">
      <alignment vertical="center"/>
    </xf>
    <xf numFmtId="0" fontId="12" fillId="0" borderId="0" xfId="7" applyFont="1" applyBorder="1" applyAlignment="1"/>
    <xf numFmtId="165" fontId="5" fillId="0" borderId="58" xfId="4" applyNumberFormat="1" applyFont="1" applyBorder="1" applyAlignment="1">
      <alignment vertical="center"/>
    </xf>
    <xf numFmtId="165" fontId="5" fillId="2" borderId="58" xfId="1" applyNumberFormat="1" applyFont="1" applyFill="1" applyBorder="1" applyAlignment="1">
      <alignment vertical="center"/>
    </xf>
    <xf numFmtId="0" fontId="6" fillId="0" borderId="29" xfId="7" applyFont="1" applyBorder="1" applyAlignment="1">
      <alignment horizontal="center" vertical="center" wrapText="1"/>
    </xf>
    <xf numFmtId="0" fontId="19" fillId="0" borderId="30" xfId="7" applyFont="1" applyBorder="1" applyAlignment="1">
      <alignment horizontal="center" vertical="center" wrapText="1"/>
    </xf>
    <xf numFmtId="165" fontId="5" fillId="3" borderId="39" xfId="1" applyNumberFormat="1" applyFont="1" applyFill="1" applyBorder="1" applyAlignment="1">
      <alignment vertical="center"/>
    </xf>
    <xf numFmtId="166" fontId="4" fillId="0" borderId="0" xfId="7" applyNumberFormat="1"/>
    <xf numFmtId="164" fontId="6" fillId="0" borderId="13" xfId="1" applyFont="1" applyFill="1" applyBorder="1"/>
    <xf numFmtId="0" fontId="5" fillId="0" borderId="13" xfId="0" applyFont="1" applyFill="1" applyBorder="1" applyAlignment="1">
      <alignment horizontal="right"/>
    </xf>
    <xf numFmtId="179" fontId="5" fillId="0" borderId="13" xfId="6" applyNumberFormat="1" applyFont="1" applyFill="1" applyBorder="1" applyAlignment="1">
      <alignment horizontal="right" vertical="center"/>
    </xf>
    <xf numFmtId="166" fontId="5" fillId="3" borderId="39" xfId="4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9" fontId="12" fillId="0" borderId="23" xfId="7" applyNumberFormat="1" applyFont="1" applyBorder="1" applyAlignment="1">
      <alignment horizontal="center"/>
    </xf>
    <xf numFmtId="0" fontId="12" fillId="0" borderId="23" xfId="7" applyFont="1" applyBorder="1" applyAlignment="1">
      <alignment horizontal="center"/>
    </xf>
    <xf numFmtId="0" fontId="1" fillId="0" borderId="0" xfId="7" applyFont="1" applyAlignment="1">
      <alignment horizontal="center"/>
    </xf>
    <xf numFmtId="0" fontId="1" fillId="0" borderId="0" xfId="7" applyFont="1" applyBorder="1" applyAlignment="1">
      <alignment horizontal="center"/>
    </xf>
    <xf numFmtId="0" fontId="6" fillId="0" borderId="24" xfId="7" applyFont="1" applyBorder="1" applyAlignment="1">
      <alignment horizontal="center" vertical="center"/>
    </xf>
    <xf numFmtId="0" fontId="6" fillId="0" borderId="27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6" fillId="0" borderId="28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 wrapText="1"/>
    </xf>
    <xf numFmtId="0" fontId="6" fillId="0" borderId="29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25" xfId="7" applyFont="1" applyBorder="1" applyAlignment="1">
      <alignment horizontal="center" vertical="center" wrapText="1"/>
    </xf>
    <xf numFmtId="0" fontId="6" fillId="0" borderId="26" xfId="7" applyFont="1" applyBorder="1" applyAlignment="1">
      <alignment horizontal="center" vertical="center" wrapText="1"/>
    </xf>
    <xf numFmtId="0" fontId="6" fillId="0" borderId="31" xfId="7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0" borderId="31" xfId="0" applyFont="1" applyBorder="1"/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>
      <alignment vertical="center"/>
    </xf>
    <xf numFmtId="0" fontId="5" fillId="0" borderId="34" xfId="0" quotePrefix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4" fillId="0" borderId="37" xfId="0" applyFont="1" applyBorder="1"/>
    <xf numFmtId="0" fontId="5" fillId="0" borderId="38" xfId="0" quotePrefix="1" applyFont="1" applyBorder="1" applyAlignment="1">
      <alignment horizontal="left" vertical="center" indent="5"/>
    </xf>
    <xf numFmtId="0" fontId="5" fillId="0" borderId="39" xfId="0" applyFont="1" applyBorder="1" applyAlignment="1">
      <alignment horizontal="center" vertical="center"/>
    </xf>
    <xf numFmtId="0" fontId="4" fillId="0" borderId="41" xfId="0" applyFont="1" applyBorder="1"/>
    <xf numFmtId="0" fontId="5" fillId="0" borderId="38" xfId="0" quotePrefix="1" applyFont="1" applyBorder="1" applyAlignment="1">
      <alignment vertical="center"/>
    </xf>
    <xf numFmtId="0" fontId="5" fillId="0" borderId="42" xfId="0" quotePrefix="1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180" fontId="13" fillId="0" borderId="4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4" fillId="0" borderId="47" xfId="0" applyFont="1" applyBorder="1"/>
    <xf numFmtId="0" fontId="5" fillId="0" borderId="34" xfId="0" applyFont="1" applyBorder="1" applyAlignment="1">
      <alignment vertical="center"/>
    </xf>
    <xf numFmtId="0" fontId="4" fillId="0" borderId="45" xfId="0" applyFont="1" applyBorder="1"/>
    <xf numFmtId="0" fontId="5" fillId="0" borderId="48" xfId="0" quotePrefix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/>
    <xf numFmtId="0" fontId="5" fillId="0" borderId="42" xfId="0" applyFont="1" applyBorder="1" applyAlignment="1">
      <alignment vertical="center"/>
    </xf>
    <xf numFmtId="0" fontId="5" fillId="0" borderId="34" xfId="0" quotePrefix="1" applyFont="1" applyBorder="1" applyAlignment="1">
      <alignment horizontal="left" vertical="center" wrapText="1"/>
    </xf>
    <xf numFmtId="0" fontId="5" fillId="0" borderId="38" xfId="0" quotePrefix="1" applyFont="1" applyBorder="1" applyAlignment="1">
      <alignment horizontal="left" vertical="center" wrapText="1"/>
    </xf>
    <xf numFmtId="0" fontId="5" fillId="0" borderId="42" xfId="0" quotePrefix="1" applyFont="1" applyBorder="1" applyAlignment="1">
      <alignment horizontal="left" vertical="center" wrapText="1"/>
    </xf>
    <xf numFmtId="165" fontId="4" fillId="0" borderId="50" xfId="0" applyNumberFormat="1" applyFont="1" applyBorder="1"/>
    <xf numFmtId="165" fontId="4" fillId="0" borderId="41" xfId="0" applyNumberFormat="1" applyFont="1" applyBorder="1"/>
    <xf numFmtId="0" fontId="5" fillId="0" borderId="38" xfId="0" applyFont="1" applyBorder="1" applyAlignment="1">
      <alignment horizontal="left" vertical="center" indent="2"/>
    </xf>
    <xf numFmtId="0" fontId="5" fillId="0" borderId="38" xfId="0" applyFont="1" applyBorder="1" applyAlignment="1">
      <alignment horizontal="left" vertical="center"/>
    </xf>
    <xf numFmtId="0" fontId="5" fillId="0" borderId="38" xfId="0" quotePrefix="1" applyFont="1" applyBorder="1" applyAlignment="1">
      <alignment horizontal="left" vertical="center" indent="4"/>
    </xf>
    <xf numFmtId="0" fontId="5" fillId="0" borderId="42" xfId="0" quotePrefix="1" applyFont="1" applyBorder="1" applyAlignment="1">
      <alignment horizontal="left" vertical="center" indent="2"/>
    </xf>
    <xf numFmtId="0" fontId="5" fillId="0" borderId="27" xfId="0" quotePrefix="1" applyFont="1" applyBorder="1" applyAlignment="1">
      <alignment horizontal="left" vertical="center"/>
    </xf>
    <xf numFmtId="0" fontId="4" fillId="0" borderId="52" xfId="0" applyFont="1" applyBorder="1"/>
    <xf numFmtId="0" fontId="5" fillId="0" borderId="48" xfId="0" quotePrefix="1" applyFont="1" applyBorder="1" applyAlignment="1">
      <alignment horizontal="left" vertical="center"/>
    </xf>
    <xf numFmtId="0" fontId="5" fillId="0" borderId="38" xfId="0" quotePrefix="1" applyFont="1" applyBorder="1" applyAlignment="1">
      <alignment horizontal="left" vertical="center" indent="2"/>
    </xf>
    <xf numFmtId="0" fontId="5" fillId="0" borderId="38" xfId="0" applyFont="1" applyBorder="1" applyAlignment="1">
      <alignment horizontal="left" vertical="center" indent="9"/>
    </xf>
    <xf numFmtId="0" fontId="5" fillId="0" borderId="38" xfId="0" quotePrefix="1" applyFont="1" applyBorder="1" applyAlignment="1">
      <alignment horizontal="left" vertical="center"/>
    </xf>
    <xf numFmtId="0" fontId="14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indent="8"/>
    </xf>
    <xf numFmtId="0" fontId="5" fillId="0" borderId="38" xfId="0" applyFont="1" applyBorder="1" applyAlignment="1">
      <alignment horizontal="left" vertical="center" indent="7"/>
    </xf>
    <xf numFmtId="0" fontId="5" fillId="0" borderId="32" xfId="0" quotePrefix="1" applyFont="1" applyBorder="1" applyAlignment="1">
      <alignment vertical="center"/>
    </xf>
    <xf numFmtId="0" fontId="5" fillId="0" borderId="48" xfId="0" applyFont="1" applyBorder="1" applyAlignment="1">
      <alignment horizontal="left" vertical="center" indent="1"/>
    </xf>
    <xf numFmtId="0" fontId="5" fillId="0" borderId="53" xfId="0" quotePrefix="1" applyFont="1" applyBorder="1" applyAlignment="1">
      <alignment horizontal="left" vertical="center" indent="6"/>
    </xf>
    <xf numFmtId="0" fontId="5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5" fillId="0" borderId="27" xfId="0" quotePrefix="1" applyFont="1" applyBorder="1" applyAlignment="1">
      <alignment horizontal="left" vertical="center" indent="2"/>
    </xf>
    <xf numFmtId="0" fontId="5" fillId="0" borderId="27" xfId="0" quotePrefix="1" applyFont="1" applyBorder="1" applyAlignment="1">
      <alignment vertical="center" wrapText="1"/>
    </xf>
    <xf numFmtId="0" fontId="16" fillId="0" borderId="28" xfId="0" applyFont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5" fillId="0" borderId="34" xfId="0" quotePrefix="1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indent="5"/>
    </xf>
    <xf numFmtId="0" fontId="5" fillId="0" borderId="39" xfId="0" applyFont="1" applyBorder="1"/>
    <xf numFmtId="0" fontId="0" fillId="0" borderId="41" xfId="0" applyBorder="1"/>
    <xf numFmtId="0" fontId="0" fillId="0" borderId="39" xfId="0" applyBorder="1"/>
    <xf numFmtId="0" fontId="5" fillId="0" borderId="57" xfId="0" quotePrefix="1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0" fillId="0" borderId="58" xfId="0" applyBorder="1"/>
    <xf numFmtId="0" fontId="0" fillId="0" borderId="59" xfId="0" applyBorder="1"/>
    <xf numFmtId="183" fontId="4" fillId="0" borderId="0" xfId="7" applyNumberFormat="1"/>
    <xf numFmtId="183" fontId="4" fillId="4" borderId="0" xfId="7" applyNumberFormat="1" applyFill="1"/>
    <xf numFmtId="4" fontId="4" fillId="4" borderId="0" xfId="7" applyNumberFormat="1" applyFill="1"/>
  </cellXfs>
  <cellStyles count="10">
    <cellStyle name="Comma" xfId="6" builtinId="3"/>
    <cellStyle name="Comma 10" xfId="4"/>
    <cellStyle name="Comma 2" xfId="1"/>
    <cellStyle name="Currency 2" xfId="9"/>
    <cellStyle name="Normal" xfId="0" builtinId="0"/>
    <cellStyle name="Normal 2" xfId="7"/>
    <cellStyle name="Normal_Bieu BC cap Huyen - Xa " xfId="3"/>
    <cellStyle name="Normal_Bieutheovien" xfId="2"/>
    <cellStyle name="Normal_danh muc dau tu 2017" xfId="5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%20NGUYEN\Downloads\so%20lieu%20%20KTXH%20%20gd%202015-2020%20va%202020-2025%20huyen%20Nam%20Dong%20LAN%201%202019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tính thứ cấp"/>
      <sheetName val="Mau phong TCKH"/>
      <sheetName val="6,2019 ước 2020"/>
      <sheetName val="Sheet3"/>
    </sheetNames>
    <sheetDataSet>
      <sheetData sheetId="0">
        <row r="8">
          <cell r="H8">
            <v>1913100</v>
          </cell>
        </row>
        <row r="9">
          <cell r="H9">
            <v>740000</v>
          </cell>
        </row>
        <row r="10">
          <cell r="H10">
            <v>290000</v>
          </cell>
        </row>
        <row r="11">
          <cell r="H11">
            <v>450000</v>
          </cell>
        </row>
        <row r="12">
          <cell r="H12">
            <v>556900</v>
          </cell>
        </row>
        <row r="13">
          <cell r="H13">
            <v>370000</v>
          </cell>
        </row>
        <row r="14">
          <cell r="H14">
            <v>170400</v>
          </cell>
        </row>
        <row r="15">
          <cell r="H15">
            <v>16500</v>
          </cell>
        </row>
        <row r="16">
          <cell r="H16">
            <v>616200</v>
          </cell>
        </row>
        <row r="17">
          <cell r="H17">
            <v>1384432.2077593766</v>
          </cell>
        </row>
        <row r="18">
          <cell r="H18">
            <v>545787.54578754574</v>
          </cell>
        </row>
        <row r="19">
          <cell r="H19">
            <v>212454.21245421245</v>
          </cell>
        </row>
        <row r="20">
          <cell r="H20">
            <v>333333.33333333331</v>
          </cell>
        </row>
        <row r="21">
          <cell r="H21">
            <v>404701</v>
          </cell>
        </row>
        <row r="22">
          <cell r="H22">
            <v>284615</v>
          </cell>
        </row>
        <row r="23">
          <cell r="H23">
            <v>109231</v>
          </cell>
        </row>
        <row r="24">
          <cell r="H24">
            <v>10855</v>
          </cell>
        </row>
        <row r="25">
          <cell r="H25">
            <v>433943.661971831</v>
          </cell>
        </row>
        <row r="27">
          <cell r="G27">
            <v>886759.48</v>
          </cell>
          <cell r="H27">
            <v>999942.3</v>
          </cell>
        </row>
        <row r="28">
          <cell r="H28">
            <v>253557</v>
          </cell>
        </row>
        <row r="29">
          <cell r="G29">
            <v>111081.60000000001</v>
          </cell>
          <cell r="H29">
            <v>138852</v>
          </cell>
        </row>
        <row r="30">
          <cell r="G30">
            <v>99334.529999999984</v>
          </cell>
          <cell r="H30">
            <v>114704.99999999999</v>
          </cell>
        </row>
        <row r="31">
          <cell r="H31">
            <v>381903</v>
          </cell>
        </row>
        <row r="32">
          <cell r="G32">
            <v>230394</v>
          </cell>
          <cell r="H32">
            <v>238650</v>
          </cell>
        </row>
        <row r="33">
          <cell r="G33">
            <v>126434</v>
          </cell>
          <cell r="H33">
            <v>131208</v>
          </cell>
        </row>
        <row r="34">
          <cell r="G34">
            <v>10220</v>
          </cell>
          <cell r="H34">
            <v>12045</v>
          </cell>
        </row>
        <row r="35">
          <cell r="G35">
            <v>309295.35000000003</v>
          </cell>
          <cell r="H35">
            <v>364482.3</v>
          </cell>
        </row>
        <row r="36">
          <cell r="G36">
            <v>31.870309085681427</v>
          </cell>
          <cell r="H36">
            <v>35.303710634091232</v>
          </cell>
        </row>
        <row r="37">
          <cell r="G37">
            <v>100</v>
          </cell>
        </row>
        <row r="38">
          <cell r="G38">
            <v>23.728658643717012</v>
          </cell>
        </row>
        <row r="39">
          <cell r="G39">
            <v>41.392058193728026</v>
          </cell>
        </row>
        <row r="40">
          <cell r="G40">
            <v>34.879283162554977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4" zoomScaleNormal="100" workbookViewId="0">
      <pane ySplit="2" topLeftCell="A75" activePane="bottomLeft" state="frozen"/>
      <selection activeCell="A4" sqref="A4"/>
      <selection pane="bottomLeft" activeCell="F9" sqref="F9"/>
    </sheetView>
  </sheetViews>
  <sheetFormatPr defaultRowHeight="15" x14ac:dyDescent="0.25"/>
  <cols>
    <col min="1" max="1" width="46.7109375" customWidth="1"/>
    <col min="2" max="10" width="11.42578125" customWidth="1"/>
  </cols>
  <sheetData>
    <row r="1" spans="1:11" ht="22.5" customHeight="1" x14ac:dyDescent="0.3">
      <c r="A1" s="264" t="s">
        <v>187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1" ht="19.5" customHeight="1" x14ac:dyDescent="0.3">
      <c r="A2" s="270" t="s">
        <v>87</v>
      </c>
      <c r="B2" s="270"/>
      <c r="C2" s="270"/>
      <c r="D2" s="270"/>
      <c r="E2" s="270"/>
      <c r="F2" s="270"/>
      <c r="G2" s="270"/>
      <c r="H2" s="270"/>
      <c r="I2" s="270"/>
      <c r="J2" s="270"/>
      <c r="K2" s="1"/>
    </row>
    <row r="3" spans="1:11" ht="20.25" customHeight="1" thickBot="1" x14ac:dyDescent="0.3">
      <c r="A3" s="271" t="s">
        <v>188</v>
      </c>
      <c r="B3" s="271"/>
      <c r="C3" s="271"/>
      <c r="D3" s="271"/>
      <c r="E3" s="271"/>
      <c r="F3" s="271"/>
      <c r="G3" s="271"/>
      <c r="H3" s="271"/>
      <c r="I3" s="271"/>
      <c r="J3" s="271"/>
      <c r="K3" s="1"/>
    </row>
    <row r="4" spans="1:11" ht="16.5" thickTop="1" x14ac:dyDescent="0.25">
      <c r="A4" s="272" t="s">
        <v>0</v>
      </c>
      <c r="B4" s="274" t="s">
        <v>1</v>
      </c>
      <c r="C4" s="265" t="s">
        <v>2</v>
      </c>
      <c r="D4" s="276" t="s">
        <v>3</v>
      </c>
      <c r="E4" s="278" t="s">
        <v>82</v>
      </c>
      <c r="F4" s="279"/>
      <c r="G4" s="265" t="s">
        <v>4</v>
      </c>
      <c r="H4" s="267" t="s">
        <v>5</v>
      </c>
      <c r="I4" s="268"/>
      <c r="J4" s="269"/>
      <c r="K4" s="2"/>
    </row>
    <row r="5" spans="1:11" ht="48" thickBot="1" x14ac:dyDescent="0.3">
      <c r="A5" s="273"/>
      <c r="B5" s="275"/>
      <c r="C5" s="266"/>
      <c r="D5" s="277"/>
      <c r="E5" s="154" t="s">
        <v>6</v>
      </c>
      <c r="F5" s="154" t="s">
        <v>7</v>
      </c>
      <c r="G5" s="266"/>
      <c r="H5" s="89" t="s">
        <v>8</v>
      </c>
      <c r="I5" s="90" t="s">
        <v>9</v>
      </c>
      <c r="J5" s="91" t="s">
        <v>10</v>
      </c>
      <c r="K5" s="2"/>
    </row>
    <row r="6" spans="1:11" ht="16.5" thickTop="1" x14ac:dyDescent="0.25">
      <c r="A6" s="3" t="s">
        <v>11</v>
      </c>
      <c r="B6" s="4"/>
      <c r="C6" s="5"/>
      <c r="D6" s="5"/>
      <c r="E6" s="5"/>
      <c r="F6" s="5"/>
      <c r="G6" s="5"/>
      <c r="H6" s="6"/>
      <c r="I6" s="6"/>
      <c r="J6" s="155"/>
      <c r="K6" s="1"/>
    </row>
    <row r="7" spans="1:11" ht="15.75" x14ac:dyDescent="0.25">
      <c r="A7" s="7" t="s">
        <v>12</v>
      </c>
      <c r="B7" s="8"/>
      <c r="C7" s="9"/>
      <c r="D7" s="9"/>
      <c r="E7" s="10"/>
      <c r="F7" s="10"/>
      <c r="G7" s="9"/>
      <c r="H7" s="11"/>
      <c r="I7" s="11"/>
      <c r="J7" s="156"/>
      <c r="K7" s="1"/>
    </row>
    <row r="8" spans="1:11" ht="15.75" x14ac:dyDescent="0.25">
      <c r="A8" s="12" t="s">
        <v>13</v>
      </c>
      <c r="B8" s="13" t="s">
        <v>14</v>
      </c>
      <c r="C8" s="60">
        <f>C16+C12+C9</f>
        <v>1680000</v>
      </c>
      <c r="D8" s="14">
        <f>D9+D12+D16</f>
        <v>806931</v>
      </c>
      <c r="E8" s="14">
        <f>E16+E12+E9</f>
        <v>1875100</v>
      </c>
      <c r="F8" s="14">
        <f>F9+F12+F16</f>
        <v>881758</v>
      </c>
      <c r="G8" s="14">
        <f>'[1]Bảng tính thứ cấp'!H8</f>
        <v>1913100</v>
      </c>
      <c r="H8" s="15"/>
      <c r="I8" s="15"/>
      <c r="J8" s="157"/>
      <c r="K8" s="1"/>
    </row>
    <row r="9" spans="1:11" ht="15.75" x14ac:dyDescent="0.25">
      <c r="A9" s="12" t="s">
        <v>15</v>
      </c>
      <c r="B9" s="13" t="s">
        <v>14</v>
      </c>
      <c r="C9" s="60">
        <f>C10+C11</f>
        <v>621700</v>
      </c>
      <c r="D9" s="14">
        <f>D10+D11</f>
        <v>282800</v>
      </c>
      <c r="E9" s="14">
        <f>E10+E11</f>
        <v>702000</v>
      </c>
      <c r="F9" s="14">
        <f>F10+F11</f>
        <v>277900</v>
      </c>
      <c r="G9" s="14">
        <f>'[1]Bảng tính thứ cấp'!H9</f>
        <v>740000</v>
      </c>
      <c r="H9" s="16"/>
      <c r="I9" s="16"/>
      <c r="J9" s="156"/>
      <c r="K9" s="1"/>
    </row>
    <row r="10" spans="1:11" ht="15.75" x14ac:dyDescent="0.25">
      <c r="A10" s="17" t="s">
        <v>16</v>
      </c>
      <c r="B10" s="18" t="s">
        <v>14</v>
      </c>
      <c r="C10" s="61">
        <v>232000</v>
      </c>
      <c r="D10" s="19">
        <v>93800</v>
      </c>
      <c r="E10" s="19">
        <v>290000</v>
      </c>
      <c r="F10" s="19">
        <f>E10*39%</f>
        <v>113100</v>
      </c>
      <c r="G10" s="19">
        <f>'[1]Bảng tính thứ cấp'!H10</f>
        <v>290000</v>
      </c>
      <c r="H10" s="22"/>
      <c r="I10" s="20"/>
      <c r="J10" s="156"/>
      <c r="K10" s="1"/>
    </row>
    <row r="11" spans="1:11" ht="15.75" x14ac:dyDescent="0.25">
      <c r="A11" s="17" t="s">
        <v>17</v>
      </c>
      <c r="B11" s="18" t="s">
        <v>14</v>
      </c>
      <c r="C11" s="61">
        <v>389700</v>
      </c>
      <c r="D11" s="19">
        <v>189000</v>
      </c>
      <c r="E11" s="19">
        <v>412000</v>
      </c>
      <c r="F11" s="19">
        <f>E11*40%</f>
        <v>164800</v>
      </c>
      <c r="G11" s="19">
        <f>'[1]Bảng tính thứ cấp'!H11</f>
        <v>450000</v>
      </c>
      <c r="H11" s="21"/>
      <c r="I11" s="22"/>
      <c r="J11" s="156"/>
      <c r="K11" s="1"/>
    </row>
    <row r="12" spans="1:11" ht="15.75" x14ac:dyDescent="0.25">
      <c r="A12" s="12" t="s">
        <v>18</v>
      </c>
      <c r="B12" s="13" t="s">
        <v>14</v>
      </c>
      <c r="C12" s="60">
        <f>C13+C14+C15</f>
        <v>535400</v>
      </c>
      <c r="D12" s="14">
        <f>D13+D14+D15</f>
        <v>222131</v>
      </c>
      <c r="E12" s="14">
        <f>E13+E14+E15</f>
        <v>556900</v>
      </c>
      <c r="F12" s="14">
        <f>F13+F14+F15</f>
        <v>240300</v>
      </c>
      <c r="G12" s="14">
        <f>'[1]Bảng tính thứ cấp'!H12</f>
        <v>556900</v>
      </c>
      <c r="H12" s="23"/>
      <c r="I12" s="24"/>
      <c r="J12" s="156"/>
      <c r="K12" s="1"/>
    </row>
    <row r="13" spans="1:11" ht="15.75" x14ac:dyDescent="0.25">
      <c r="A13" s="17" t="s">
        <v>19</v>
      </c>
      <c r="B13" s="18" t="s">
        <v>14</v>
      </c>
      <c r="C13" s="61">
        <v>357200</v>
      </c>
      <c r="D13" s="19">
        <v>162111</v>
      </c>
      <c r="E13" s="19">
        <v>370000</v>
      </c>
      <c r="F13" s="19">
        <f>E13*42%</f>
        <v>155400</v>
      </c>
      <c r="G13" s="19">
        <f>'[1]Bảng tính thứ cấp'!H13</f>
        <v>370000</v>
      </c>
      <c r="H13" s="23"/>
      <c r="I13" s="22"/>
      <c r="J13" s="156"/>
      <c r="K13" s="1"/>
    </row>
    <row r="14" spans="1:11" ht="15.75" x14ac:dyDescent="0.25">
      <c r="A14" s="17" t="s">
        <v>20</v>
      </c>
      <c r="B14" s="18" t="s">
        <v>14</v>
      </c>
      <c r="C14" s="61">
        <v>164200</v>
      </c>
      <c r="D14" s="19">
        <v>54500</v>
      </c>
      <c r="E14" s="19">
        <v>170400</v>
      </c>
      <c r="F14" s="19">
        <v>75000</v>
      </c>
      <c r="G14" s="19">
        <f>'[1]Bảng tính thứ cấp'!H14</f>
        <v>170400</v>
      </c>
      <c r="H14" s="23"/>
      <c r="I14" s="25"/>
      <c r="J14" s="156"/>
      <c r="K14" s="1"/>
    </row>
    <row r="15" spans="1:11" ht="15.75" x14ac:dyDescent="0.25">
      <c r="A15" s="17" t="s">
        <v>21</v>
      </c>
      <c r="B15" s="18" t="s">
        <v>14</v>
      </c>
      <c r="C15" s="61">
        <v>14000</v>
      </c>
      <c r="D15" s="19">
        <v>5520</v>
      </c>
      <c r="E15" s="19">
        <v>16500</v>
      </c>
      <c r="F15" s="19">
        <f>E15*60%</f>
        <v>9900</v>
      </c>
      <c r="G15" s="19">
        <f>'[1]Bảng tính thứ cấp'!H15</f>
        <v>16500</v>
      </c>
      <c r="H15" s="22"/>
      <c r="I15" s="26"/>
      <c r="J15" s="156"/>
      <c r="K15" s="1"/>
    </row>
    <row r="16" spans="1:11" ht="15.75" x14ac:dyDescent="0.25">
      <c r="A16" s="12" t="s">
        <v>22</v>
      </c>
      <c r="B16" s="13" t="s">
        <v>14</v>
      </c>
      <c r="C16" s="60">
        <v>522900</v>
      </c>
      <c r="D16" s="14">
        <v>302000</v>
      </c>
      <c r="E16" s="14">
        <v>616200</v>
      </c>
      <c r="F16" s="14">
        <f>E16*59%</f>
        <v>363558</v>
      </c>
      <c r="G16" s="14">
        <f>'[1]Bảng tính thứ cấp'!H16</f>
        <v>616200</v>
      </c>
      <c r="H16" s="27"/>
      <c r="I16" s="24"/>
      <c r="J16" s="156"/>
      <c r="K16" s="1"/>
    </row>
    <row r="17" spans="1:12" ht="15.75" x14ac:dyDescent="0.25">
      <c r="A17" s="12" t="s">
        <v>23</v>
      </c>
      <c r="B17" s="13" t="s">
        <v>14</v>
      </c>
      <c r="C17" s="28">
        <f>C18+C21+C25</f>
        <v>1202697</v>
      </c>
      <c r="D17" s="28">
        <f>D18+D21+D25</f>
        <v>581578.72710036417</v>
      </c>
      <c r="E17" s="28">
        <f>E18+E21+E25</f>
        <v>1356791</v>
      </c>
      <c r="F17" s="28">
        <f>F18+F21+F25</f>
        <v>631253.98835636536</v>
      </c>
      <c r="G17" s="14">
        <f>'[1]Bảng tính thứ cấp'!H17</f>
        <v>1384432.2077593766</v>
      </c>
      <c r="H17" s="15">
        <f t="shared" ref="H17:H25" si="0">F17/D17%</f>
        <v>108.54145087178001</v>
      </c>
      <c r="I17" s="15">
        <f t="shared" ref="I17:I25" si="1">F17/E17%</f>
        <v>46.525514125341736</v>
      </c>
      <c r="J17" s="157">
        <f t="shared" ref="J17:J25" si="2">G17/C17%</f>
        <v>115.11063948437359</v>
      </c>
      <c r="K17" s="29">
        <v>111.86787481190727</v>
      </c>
      <c r="L17">
        <f>+G17/E17%</f>
        <v>102.03724875528926</v>
      </c>
    </row>
    <row r="18" spans="1:12" ht="15.75" x14ac:dyDescent="0.25">
      <c r="A18" s="12" t="s">
        <v>15</v>
      </c>
      <c r="B18" s="13" t="s">
        <v>14</v>
      </c>
      <c r="C18" s="28">
        <f>C19+C20</f>
        <v>459433</v>
      </c>
      <c r="D18" s="28">
        <f>D19+D20</f>
        <v>210132.7583763072</v>
      </c>
      <c r="E18" s="28">
        <f>E19+E20</f>
        <v>517734</v>
      </c>
      <c r="F18" s="28">
        <f>F19+F20</f>
        <v>206498.25711812166</v>
      </c>
      <c r="G18" s="14">
        <f>'[1]Bảng tính thứ cấp'!H18</f>
        <v>545787.54578754574</v>
      </c>
      <c r="H18" s="15">
        <f t="shared" si="0"/>
        <v>98.27037855198337</v>
      </c>
      <c r="I18" s="15">
        <f t="shared" si="1"/>
        <v>39.885009892748336</v>
      </c>
      <c r="J18" s="157">
        <f t="shared" si="2"/>
        <v>118.79589532914392</v>
      </c>
      <c r="K18" s="29">
        <v>111.02221975677584</v>
      </c>
    </row>
    <row r="19" spans="1:12" ht="15.75" x14ac:dyDescent="0.25">
      <c r="A19" s="17" t="s">
        <v>16</v>
      </c>
      <c r="B19" s="18" t="s">
        <v>14</v>
      </c>
      <c r="C19" s="62">
        <v>169908</v>
      </c>
      <c r="D19" s="30">
        <f>D10/1.345445</f>
        <v>69716.710828016003</v>
      </c>
      <c r="E19" s="30">
        <v>212385</v>
      </c>
      <c r="F19" s="30">
        <f>F10/1.345445</f>
        <v>84061.407192415892</v>
      </c>
      <c r="G19" s="19">
        <f>'[1]Bảng tính thứ cấp'!H19</f>
        <v>212454.21245421245</v>
      </c>
      <c r="H19" s="31">
        <f t="shared" si="0"/>
        <v>120.57569296375267</v>
      </c>
      <c r="I19" s="31">
        <f t="shared" si="1"/>
        <v>39.579728885004073</v>
      </c>
      <c r="J19" s="158">
        <f t="shared" si="2"/>
        <v>125.04073525332089</v>
      </c>
      <c r="K19" s="32">
        <v>115.15310998436624</v>
      </c>
    </row>
    <row r="20" spans="1:12" ht="15.75" x14ac:dyDescent="0.25">
      <c r="A20" s="17" t="s">
        <v>17</v>
      </c>
      <c r="B20" s="18" t="s">
        <v>14</v>
      </c>
      <c r="C20" s="62">
        <v>289525</v>
      </c>
      <c r="D20" s="30">
        <f>D11/1.346</f>
        <v>140416.04754829122</v>
      </c>
      <c r="E20" s="30">
        <v>305349</v>
      </c>
      <c r="F20" s="30">
        <f>F11/1.346</f>
        <v>122436.84992570578</v>
      </c>
      <c r="G20" s="19">
        <f>'[1]Bảng tính thứ cấp'!H20</f>
        <v>333333.33333333331</v>
      </c>
      <c r="H20" s="31">
        <f t="shared" si="0"/>
        <v>87.195767195767189</v>
      </c>
      <c r="I20" s="31">
        <f t="shared" si="1"/>
        <v>40.097347600845524</v>
      </c>
      <c r="J20" s="158">
        <f t="shared" si="2"/>
        <v>115.13110554644101</v>
      </c>
      <c r="K20" s="32">
        <v>108.91549491855771</v>
      </c>
    </row>
    <row r="21" spans="1:12" ht="15.75" x14ac:dyDescent="0.25">
      <c r="A21" s="12" t="s">
        <v>18</v>
      </c>
      <c r="B21" s="13" t="s">
        <v>14</v>
      </c>
      <c r="C21" s="28">
        <f>C22+C23+C24</f>
        <v>389236</v>
      </c>
      <c r="D21" s="28">
        <f>D22+D23+D24</f>
        <v>165583.66470224381</v>
      </c>
      <c r="E21" s="28">
        <f>E22+E23+E24</f>
        <v>404701</v>
      </c>
      <c r="F21" s="28">
        <f>F22+F23+F24</f>
        <v>176931.60035889805</v>
      </c>
      <c r="G21" s="14">
        <f>'[1]Bảng tính thứ cấp'!H21</f>
        <v>404701</v>
      </c>
      <c r="H21" s="15">
        <f t="shared" si="0"/>
        <v>106.85329418035307</v>
      </c>
      <c r="I21" s="15">
        <f t="shared" si="1"/>
        <v>43.719091467255588</v>
      </c>
      <c r="J21" s="157">
        <f t="shared" si="2"/>
        <v>103.97316794952162</v>
      </c>
      <c r="K21" s="32">
        <v>104.61624343617184</v>
      </c>
    </row>
    <row r="22" spans="1:12" ht="15.75" x14ac:dyDescent="0.25">
      <c r="A22" s="17" t="s">
        <v>19</v>
      </c>
      <c r="B22" s="18" t="s">
        <v>14</v>
      </c>
      <c r="C22" s="61">
        <v>274769</v>
      </c>
      <c r="D22" s="19">
        <f>D13/1.2905</f>
        <v>125618.75242154204</v>
      </c>
      <c r="E22" s="19">
        <v>284615</v>
      </c>
      <c r="F22" s="19">
        <f>F13/1.2905</f>
        <v>120418.44246416118</v>
      </c>
      <c r="G22" s="14">
        <f>'[1]Bảng tính thứ cấp'!H22</f>
        <v>284615</v>
      </c>
      <c r="H22" s="31">
        <f t="shared" si="0"/>
        <v>95.860243906952647</v>
      </c>
      <c r="I22" s="31">
        <f t="shared" si="1"/>
        <v>42.309239662056171</v>
      </c>
      <c r="J22" s="158">
        <f t="shared" si="2"/>
        <v>103.58337367024664</v>
      </c>
      <c r="K22" s="32">
        <v>103.81278214118146</v>
      </c>
    </row>
    <row r="23" spans="1:12" ht="15.75" x14ac:dyDescent="0.25">
      <c r="A23" s="17" t="s">
        <v>20</v>
      </c>
      <c r="B23" s="106" t="s">
        <v>14</v>
      </c>
      <c r="C23" s="107">
        <v>105256</v>
      </c>
      <c r="D23" s="108">
        <f>D14/1.5</f>
        <v>36333.333333333336</v>
      </c>
      <c r="E23" s="109">
        <v>109231</v>
      </c>
      <c r="F23" s="108">
        <f>F14/1.5</f>
        <v>50000</v>
      </c>
      <c r="G23" s="109">
        <f>'[1]Bảng tính thứ cấp'!H23</f>
        <v>109231</v>
      </c>
      <c r="H23" s="110">
        <f t="shared" si="0"/>
        <v>137.61467889908255</v>
      </c>
      <c r="I23" s="110">
        <f t="shared" si="1"/>
        <v>45.774551180525677</v>
      </c>
      <c r="J23" s="158">
        <f t="shared" si="2"/>
        <v>103.77650680246258</v>
      </c>
      <c r="K23" s="32">
        <v>105.61825535597592</v>
      </c>
    </row>
    <row r="24" spans="1:12" ht="15.75" x14ac:dyDescent="0.25">
      <c r="A24" s="17" t="s">
        <v>21</v>
      </c>
      <c r="B24" s="106" t="s">
        <v>14</v>
      </c>
      <c r="C24" s="111">
        <v>9211</v>
      </c>
      <c r="D24" s="108">
        <f>D15/1.52</f>
        <v>3631.5789473684208</v>
      </c>
      <c r="E24" s="108">
        <v>10855</v>
      </c>
      <c r="F24" s="108">
        <f>F15/1.52</f>
        <v>6513.1578947368416</v>
      </c>
      <c r="G24" s="109">
        <f>'[1]Bảng tính thứ cấp'!H24</f>
        <v>10855</v>
      </c>
      <c r="H24" s="110">
        <f t="shared" si="0"/>
        <v>179.34782608695653</v>
      </c>
      <c r="I24" s="110">
        <f t="shared" si="1"/>
        <v>60.001454580717109</v>
      </c>
      <c r="J24" s="158">
        <f t="shared" si="2"/>
        <v>117.84822494843122</v>
      </c>
      <c r="K24" s="32">
        <v>123.59503345717555</v>
      </c>
    </row>
    <row r="25" spans="1:12" ht="15.75" x14ac:dyDescent="0.25">
      <c r="A25" s="12" t="s">
        <v>22</v>
      </c>
      <c r="B25" s="112" t="s">
        <v>14</v>
      </c>
      <c r="C25" s="113">
        <v>354028</v>
      </c>
      <c r="D25" s="114">
        <f>D16/1.467</f>
        <v>205862.30402181321</v>
      </c>
      <c r="E25" s="115">
        <v>434356</v>
      </c>
      <c r="F25" s="114">
        <f>F16/1.467</f>
        <v>247824.13087934558</v>
      </c>
      <c r="G25" s="115">
        <f>'[1]Bảng tính thứ cấp'!H25</f>
        <v>433943.661971831</v>
      </c>
      <c r="H25" s="116">
        <f t="shared" si="0"/>
        <v>120.38344370860926</v>
      </c>
      <c r="I25" s="116">
        <f t="shared" si="1"/>
        <v>57.055532991220467</v>
      </c>
      <c r="J25" s="157">
        <f t="shared" si="2"/>
        <v>122.57326029913763</v>
      </c>
      <c r="K25" s="32">
        <v>123.44339746155485</v>
      </c>
    </row>
    <row r="26" spans="1:12" ht="15.75" hidden="1" x14ac:dyDescent="0.25">
      <c r="A26" s="33" t="s">
        <v>24</v>
      </c>
      <c r="B26" s="112" t="s">
        <v>14</v>
      </c>
      <c r="C26" s="117">
        <f>'[1]Bảng tính thứ cấp'!G27</f>
        <v>886759.48</v>
      </c>
      <c r="D26" s="118"/>
      <c r="E26" s="119">
        <f>E27+E30+E34</f>
        <v>968792.59000000008</v>
      </c>
      <c r="F26" s="120"/>
      <c r="G26" s="119">
        <f>'[1]Bảng tính thứ cấp'!H27</f>
        <v>999942.3</v>
      </c>
      <c r="H26" s="121"/>
      <c r="I26" s="121"/>
      <c r="J26" s="46"/>
      <c r="K26" s="1"/>
    </row>
    <row r="27" spans="1:12" ht="15.75" hidden="1" x14ac:dyDescent="0.25">
      <c r="A27" s="33" t="s">
        <v>25</v>
      </c>
      <c r="B27" s="112" t="s">
        <v>14</v>
      </c>
      <c r="C27" s="119">
        <f>SUM(C29+C28)</f>
        <v>210416.13</v>
      </c>
      <c r="D27" s="119"/>
      <c r="E27" s="119">
        <f>SUM(E29+E28)</f>
        <v>232762.30000000002</v>
      </c>
      <c r="F27" s="120"/>
      <c r="G27" s="119">
        <f>'[1]Bảng tính thứ cấp'!H28</f>
        <v>253557</v>
      </c>
      <c r="H27" s="121"/>
      <c r="I27" s="122"/>
      <c r="J27" s="38"/>
      <c r="K27" s="1"/>
    </row>
    <row r="28" spans="1:12" ht="15.75" hidden="1" x14ac:dyDescent="0.25">
      <c r="A28" s="35" t="s">
        <v>26</v>
      </c>
      <c r="B28" s="106" t="s">
        <v>14</v>
      </c>
      <c r="C28" s="123">
        <f>'[1]Bảng tính thứ cấp'!G29</f>
        <v>111081.60000000001</v>
      </c>
      <c r="D28" s="124"/>
      <c r="E28" s="124">
        <f>E10*47.587%</f>
        <v>138002.30000000002</v>
      </c>
      <c r="F28" s="124"/>
      <c r="G28" s="125">
        <f>'[1]Bảng tính thứ cấp'!H29</f>
        <v>138852</v>
      </c>
      <c r="H28" s="126"/>
      <c r="I28" s="127"/>
      <c r="J28" s="159"/>
      <c r="K28" s="36"/>
    </row>
    <row r="29" spans="1:12" ht="15.75" hidden="1" x14ac:dyDescent="0.25">
      <c r="A29" s="35" t="s">
        <v>27</v>
      </c>
      <c r="B29" s="106" t="s">
        <v>14</v>
      </c>
      <c r="C29" s="123">
        <f>'[1]Bảng tính thứ cấp'!G30</f>
        <v>99334.529999999984</v>
      </c>
      <c r="D29" s="124"/>
      <c r="E29" s="124">
        <f>E11*23%</f>
        <v>94760</v>
      </c>
      <c r="F29" s="124"/>
      <c r="G29" s="125">
        <f>'[1]Bảng tính thứ cấp'!H30</f>
        <v>114704.99999999999</v>
      </c>
      <c r="H29" s="128"/>
      <c r="I29" s="128"/>
      <c r="J29" s="160"/>
      <c r="K29" s="36"/>
    </row>
    <row r="30" spans="1:12" ht="15.75" hidden="1" x14ac:dyDescent="0.25">
      <c r="A30" s="37" t="s">
        <v>28</v>
      </c>
      <c r="B30" s="112" t="s">
        <v>14</v>
      </c>
      <c r="C30" s="129">
        <f>SUM(C31:C33)</f>
        <v>367048</v>
      </c>
      <c r="D30" s="129"/>
      <c r="E30" s="129">
        <f>SUM(E31:E33)</f>
        <v>328598.84999999998</v>
      </c>
      <c r="F30" s="129"/>
      <c r="G30" s="119">
        <f>'[1]Bảng tính thứ cấp'!H31</f>
        <v>381903</v>
      </c>
      <c r="H30" s="130"/>
      <c r="I30" s="131"/>
      <c r="J30" s="161"/>
      <c r="K30" s="1"/>
    </row>
    <row r="31" spans="1:12" ht="15.75" hidden="1" x14ac:dyDescent="0.25">
      <c r="A31" s="35" t="s">
        <v>29</v>
      </c>
      <c r="B31" s="106" t="s">
        <v>14</v>
      </c>
      <c r="C31" s="123">
        <f>'[1]Bảng tính thứ cấp'!G32</f>
        <v>230394</v>
      </c>
      <c r="D31" s="132"/>
      <c r="E31" s="132">
        <f>E13*50.982%</f>
        <v>188633.39999999997</v>
      </c>
      <c r="F31" s="132"/>
      <c r="G31" s="125">
        <f>'[1]Bảng tính thứ cấp'!H32</f>
        <v>238650</v>
      </c>
      <c r="H31" s="132"/>
      <c r="I31" s="133"/>
      <c r="J31" s="64"/>
      <c r="K31" s="36"/>
    </row>
    <row r="32" spans="1:12" ht="15.75" hidden="1" x14ac:dyDescent="0.25">
      <c r="A32" s="35" t="s">
        <v>30</v>
      </c>
      <c r="B32" s="106" t="s">
        <v>14</v>
      </c>
      <c r="C32" s="123">
        <f>'[1]Bảng tính thứ cấp'!G33</f>
        <v>126434</v>
      </c>
      <c r="D32" s="124"/>
      <c r="E32" s="124">
        <f>E14*75%</f>
        <v>127800</v>
      </c>
      <c r="F32" s="124"/>
      <c r="G32" s="125">
        <f>'[1]Bảng tính thứ cấp'!H33</f>
        <v>131208</v>
      </c>
      <c r="H32" s="134"/>
      <c r="I32" s="134"/>
      <c r="J32" s="162"/>
      <c r="K32" s="36"/>
    </row>
    <row r="33" spans="1:11" ht="15.75" hidden="1" x14ac:dyDescent="0.25">
      <c r="A33" s="35" t="s">
        <v>31</v>
      </c>
      <c r="B33" s="106" t="s">
        <v>14</v>
      </c>
      <c r="C33" s="123">
        <f>'[1]Bảng tính thứ cấp'!G34</f>
        <v>10220</v>
      </c>
      <c r="D33" s="124"/>
      <c r="E33" s="124">
        <f>E15*73.73%</f>
        <v>12165.45</v>
      </c>
      <c r="F33" s="124"/>
      <c r="G33" s="125">
        <f>'[1]Bảng tính thứ cấp'!H34</f>
        <v>12045</v>
      </c>
      <c r="H33" s="134"/>
      <c r="I33" s="134"/>
      <c r="J33" s="162"/>
      <c r="K33" s="36"/>
    </row>
    <row r="34" spans="1:11" ht="15.75" hidden="1" x14ac:dyDescent="0.25">
      <c r="A34" s="33" t="s">
        <v>32</v>
      </c>
      <c r="B34" s="112" t="s">
        <v>14</v>
      </c>
      <c r="C34" s="135">
        <f>'[1]Bảng tính thứ cấp'!G35</f>
        <v>309295.35000000003</v>
      </c>
      <c r="D34" s="129"/>
      <c r="E34" s="129">
        <f>E16*66.12%</f>
        <v>407431.44</v>
      </c>
      <c r="F34" s="129"/>
      <c r="G34" s="119">
        <f>'[1]Bảng tính thứ cấp'!H35</f>
        <v>364482.3</v>
      </c>
      <c r="H34" s="136"/>
      <c r="I34" s="136"/>
      <c r="J34" s="163"/>
      <c r="K34" s="1"/>
    </row>
    <row r="35" spans="1:11" ht="15.75" x14ac:dyDescent="0.25">
      <c r="A35" s="33" t="s">
        <v>33</v>
      </c>
      <c r="B35" s="112" t="s">
        <v>34</v>
      </c>
      <c r="C35" s="137">
        <f>'[1]Bảng tính thứ cấp'!G36</f>
        <v>31.870309085681427</v>
      </c>
      <c r="D35" s="138"/>
      <c r="E35" s="138">
        <v>34.74</v>
      </c>
      <c r="F35" s="138"/>
      <c r="G35" s="138">
        <f>'[1]Bảng tính thứ cấp'!H36</f>
        <v>35.303710634091232</v>
      </c>
      <c r="H35" s="110"/>
      <c r="I35" s="139"/>
      <c r="J35" s="46"/>
      <c r="K35" s="1"/>
    </row>
    <row r="36" spans="1:11" ht="15.75" hidden="1" x14ac:dyDescent="0.25">
      <c r="A36" s="33" t="s">
        <v>35</v>
      </c>
      <c r="B36" s="140" t="s">
        <v>36</v>
      </c>
      <c r="C36" s="141">
        <f>'[1]Bảng tính thứ cấp'!G37</f>
        <v>100</v>
      </c>
      <c r="D36" s="142"/>
      <c r="E36" s="142">
        <f>SUM(E37:E39)</f>
        <v>100</v>
      </c>
      <c r="F36" s="142"/>
      <c r="G36" s="142">
        <f>SUM(G37:G39)</f>
        <v>100</v>
      </c>
      <c r="H36" s="121"/>
      <c r="I36" s="139"/>
      <c r="J36" s="46"/>
      <c r="K36" s="1"/>
    </row>
    <row r="37" spans="1:11" ht="15.75" hidden="1" x14ac:dyDescent="0.25">
      <c r="A37" s="39" t="s">
        <v>37</v>
      </c>
      <c r="B37" s="143" t="s">
        <v>36</v>
      </c>
      <c r="C37" s="144">
        <f>'[1]Bảng tính thứ cấp'!G38</f>
        <v>23.728658643717012</v>
      </c>
      <c r="D37" s="145"/>
      <c r="E37" s="145">
        <f>E27/E26*100</f>
        <v>24.026019852195606</v>
      </c>
      <c r="F37" s="145"/>
      <c r="G37" s="145">
        <f>G27/G26*100</f>
        <v>25.357163108311347</v>
      </c>
      <c r="H37" s="121"/>
      <c r="I37" s="121"/>
      <c r="J37" s="46"/>
      <c r="K37" s="1"/>
    </row>
    <row r="38" spans="1:11" ht="15.75" hidden="1" x14ac:dyDescent="0.25">
      <c r="A38" s="39" t="s">
        <v>38</v>
      </c>
      <c r="B38" s="143" t="s">
        <v>36</v>
      </c>
      <c r="C38" s="144">
        <f>'[1]Bảng tính thứ cấp'!G39</f>
        <v>41.392058193728026</v>
      </c>
      <c r="D38" s="145"/>
      <c r="E38" s="145">
        <f>E30/E26*100</f>
        <v>33.918390106596497</v>
      </c>
      <c r="F38" s="145"/>
      <c r="G38" s="145">
        <f>G30/G26*100</f>
        <v>38.192503707463921</v>
      </c>
      <c r="H38" s="146"/>
      <c r="I38" s="121"/>
      <c r="J38" s="46"/>
      <c r="K38" s="1"/>
    </row>
    <row r="39" spans="1:11" ht="15.75" hidden="1" x14ac:dyDescent="0.25">
      <c r="A39" s="39" t="s">
        <v>39</v>
      </c>
      <c r="B39" s="143" t="s">
        <v>36</v>
      </c>
      <c r="C39" s="144">
        <f>'[1]Bảng tính thứ cấp'!G40</f>
        <v>34.879283162554977</v>
      </c>
      <c r="D39" s="145"/>
      <c r="E39" s="145">
        <f>E34/E26%</f>
        <v>42.055590041207893</v>
      </c>
      <c r="F39" s="145"/>
      <c r="G39" s="145">
        <f>G34/G26%</f>
        <v>36.450333184224725</v>
      </c>
      <c r="H39" s="121"/>
      <c r="I39" s="121"/>
      <c r="J39" s="46"/>
      <c r="K39" s="1"/>
    </row>
    <row r="40" spans="1:11" ht="15.75" hidden="1" x14ac:dyDescent="0.25">
      <c r="A40" s="33" t="s">
        <v>40</v>
      </c>
      <c r="B40" s="112" t="s">
        <v>14</v>
      </c>
      <c r="C40" s="147">
        <f>C41+C44+C48</f>
        <v>594266.65059555555</v>
      </c>
      <c r="D40" s="147"/>
      <c r="E40" s="147">
        <f>E41+E44+E48</f>
        <v>682481.28736888897</v>
      </c>
      <c r="F40" s="147"/>
      <c r="G40" s="147">
        <f>G41+G44+G48</f>
        <v>688744.6449212369</v>
      </c>
      <c r="H40" s="116" t="e">
        <f>#REF!/#REF!%</f>
        <v>#REF!</v>
      </c>
      <c r="I40" s="116" t="e">
        <f>#REF!/E40%</f>
        <v>#REF!</v>
      </c>
      <c r="J40" s="157">
        <f t="shared" ref="J40:J48" si="3">G40/C40%</f>
        <v>115.89824941901055</v>
      </c>
      <c r="K40" s="41"/>
    </row>
    <row r="41" spans="1:11" ht="15.75" hidden="1" x14ac:dyDescent="0.25">
      <c r="A41" s="12" t="s">
        <v>41</v>
      </c>
      <c r="B41" s="112" t="s">
        <v>14</v>
      </c>
      <c r="C41" s="148">
        <f>SUM(C42:C43)</f>
        <v>147248.12179999999</v>
      </c>
      <c r="D41" s="148"/>
      <c r="E41" s="148">
        <f>SUM(E42:E43)</f>
        <v>170882.31300000002</v>
      </c>
      <c r="F41" s="148"/>
      <c r="G41" s="148">
        <f>SUM(G42:G43)</f>
        <v>177435.16483516485</v>
      </c>
      <c r="H41" s="116" t="e">
        <f>#REF!/#REF!%</f>
        <v>#REF!</v>
      </c>
      <c r="I41" s="116" t="e">
        <f>#REF!/E41%</f>
        <v>#REF!</v>
      </c>
      <c r="J41" s="157">
        <f t="shared" si="3"/>
        <v>120.50080005513854</v>
      </c>
      <c r="K41" s="1"/>
    </row>
    <row r="42" spans="1:11" ht="15.75" hidden="1" x14ac:dyDescent="0.25">
      <c r="A42" s="17" t="s">
        <v>16</v>
      </c>
      <c r="B42" s="106" t="s">
        <v>14</v>
      </c>
      <c r="C42" s="124">
        <f>C19*46.96%</f>
        <v>79788.796799999996</v>
      </c>
      <c r="D42" s="124"/>
      <c r="E42" s="124">
        <f>E19*46.96%</f>
        <v>99735.995999999999</v>
      </c>
      <c r="F42" s="124"/>
      <c r="G42" s="124">
        <f>G19*46.96%</f>
        <v>99768.498168498176</v>
      </c>
      <c r="H42" s="116" t="e">
        <f>#REF!/#REF!%</f>
        <v>#REF!</v>
      </c>
      <c r="I42" s="116" t="e">
        <f>#REF!/E42%</f>
        <v>#REF!</v>
      </c>
      <c r="J42" s="157">
        <f t="shared" si="3"/>
        <v>125.0407352533209</v>
      </c>
      <c r="K42" s="1"/>
    </row>
    <row r="43" spans="1:11" ht="15.75" hidden="1" x14ac:dyDescent="0.25">
      <c r="A43" s="17" t="s">
        <v>17</v>
      </c>
      <c r="B43" s="106" t="s">
        <v>14</v>
      </c>
      <c r="C43" s="124">
        <f>C20*23.3%</f>
        <v>67459.324999999997</v>
      </c>
      <c r="D43" s="124"/>
      <c r="E43" s="124">
        <f>E20*23.3%</f>
        <v>71146.31700000001</v>
      </c>
      <c r="F43" s="124"/>
      <c r="G43" s="124">
        <f>G20*23.3%</f>
        <v>77666.666666666672</v>
      </c>
      <c r="H43" s="116" t="e">
        <f>#REF!/#REF!%</f>
        <v>#REF!</v>
      </c>
      <c r="I43" s="116" t="e">
        <f>#REF!/E43%</f>
        <v>#REF!</v>
      </c>
      <c r="J43" s="157">
        <f t="shared" si="3"/>
        <v>115.13110554644102</v>
      </c>
      <c r="K43" s="1"/>
    </row>
    <row r="44" spans="1:11" ht="15.75" hidden="1" x14ac:dyDescent="0.25">
      <c r="A44" s="12" t="s">
        <v>42</v>
      </c>
      <c r="B44" s="112" t="s">
        <v>14</v>
      </c>
      <c r="C44" s="149">
        <f>SUM(C45:C47)</f>
        <v>198462.55055555556</v>
      </c>
      <c r="D44" s="149"/>
      <c r="E44" s="149">
        <f>SUM(E45:E47)</f>
        <v>206646.31388888889</v>
      </c>
      <c r="F44" s="149"/>
      <c r="G44" s="149">
        <f>SUM(G45:G47)</f>
        <v>206646.31388888889</v>
      </c>
      <c r="H44" s="116" t="e">
        <f>#REF!/#REF!%</f>
        <v>#REF!</v>
      </c>
      <c r="I44" s="116" t="e">
        <f>#REF!/E44%</f>
        <v>#REF!</v>
      </c>
      <c r="J44" s="157">
        <f t="shared" si="3"/>
        <v>104.12358065056836</v>
      </c>
      <c r="K44" s="41"/>
    </row>
    <row r="45" spans="1:11" ht="15.75" hidden="1" x14ac:dyDescent="0.25">
      <c r="A45" s="17" t="s">
        <v>19</v>
      </c>
      <c r="B45" s="106" t="s">
        <v>14</v>
      </c>
      <c r="C45" s="124">
        <f>C22*48.5%</f>
        <v>133262.965</v>
      </c>
      <c r="D45" s="124"/>
      <c r="E45" s="124">
        <f>E22*48.5%</f>
        <v>138038.27499999999</v>
      </c>
      <c r="F45" s="124"/>
      <c r="G45" s="124">
        <f>G22*48.5%</f>
        <v>138038.27499999999</v>
      </c>
      <c r="H45" s="116" t="e">
        <f>#REF!/#REF!%</f>
        <v>#REF!</v>
      </c>
      <c r="I45" s="116" t="e">
        <f>#REF!/E45%</f>
        <v>#REF!</v>
      </c>
      <c r="J45" s="157">
        <f t="shared" si="3"/>
        <v>103.58337367024664</v>
      </c>
      <c r="K45" s="1"/>
    </row>
    <row r="46" spans="1:11" ht="15.75" hidden="1" x14ac:dyDescent="0.25">
      <c r="A46" s="17" t="s">
        <v>20</v>
      </c>
      <c r="B46" s="106" t="s">
        <v>14</v>
      </c>
      <c r="C46" s="124">
        <f>C23/1.8</f>
        <v>58475.555555555555</v>
      </c>
      <c r="D46" s="124"/>
      <c r="E46" s="124">
        <f>E23/1.8</f>
        <v>60683.888888888891</v>
      </c>
      <c r="F46" s="124"/>
      <c r="G46" s="124">
        <f>G23/1.8</f>
        <v>60683.888888888891</v>
      </c>
      <c r="H46" s="116" t="e">
        <f>#REF!/#REF!%</f>
        <v>#REF!</v>
      </c>
      <c r="I46" s="116" t="e">
        <f>#REF!/E46%</f>
        <v>#REF!</v>
      </c>
      <c r="J46" s="157">
        <f t="shared" si="3"/>
        <v>103.77650680246256</v>
      </c>
      <c r="K46" s="1"/>
    </row>
    <row r="47" spans="1:11" ht="15.75" hidden="1" x14ac:dyDescent="0.25">
      <c r="A47" s="17" t="s">
        <v>21</v>
      </c>
      <c r="B47" s="106" t="s">
        <v>14</v>
      </c>
      <c r="C47" s="124">
        <f>C24*73%</f>
        <v>6724.03</v>
      </c>
      <c r="D47" s="124"/>
      <c r="E47" s="124">
        <f>E24*73%</f>
        <v>7924.15</v>
      </c>
      <c r="F47" s="124"/>
      <c r="G47" s="124">
        <f>G24*73%</f>
        <v>7924.15</v>
      </c>
      <c r="H47" s="116" t="e">
        <f>#REF!/#REF!%</f>
        <v>#REF!</v>
      </c>
      <c r="I47" s="116" t="e">
        <f>#REF!/E47%</f>
        <v>#REF!</v>
      </c>
      <c r="J47" s="157">
        <f t="shared" si="3"/>
        <v>117.84822494843124</v>
      </c>
      <c r="K47" s="1"/>
    </row>
    <row r="48" spans="1:11" ht="15.75" hidden="1" x14ac:dyDescent="0.25">
      <c r="A48" s="33" t="s">
        <v>43</v>
      </c>
      <c r="B48" s="112" t="s">
        <v>14</v>
      </c>
      <c r="C48" s="129">
        <f>C25*70.208%</f>
        <v>248555.97824000003</v>
      </c>
      <c r="D48" s="129"/>
      <c r="E48" s="129">
        <f>E25*70.208%</f>
        <v>304952.66048000002</v>
      </c>
      <c r="F48" s="129"/>
      <c r="G48" s="129">
        <f>G25*70.208%</f>
        <v>304663.16619718313</v>
      </c>
      <c r="H48" s="116" t="e">
        <f>#REF!/#REF!%</f>
        <v>#REF!</v>
      </c>
      <c r="I48" s="116" t="e">
        <f>#REF!/E48%</f>
        <v>#REF!</v>
      </c>
      <c r="J48" s="157">
        <f t="shared" si="3"/>
        <v>122.57326029913764</v>
      </c>
      <c r="K48" s="41"/>
    </row>
    <row r="49" spans="1:13" ht="15.75" x14ac:dyDescent="0.25">
      <c r="A49" s="33" t="s">
        <v>44</v>
      </c>
      <c r="B49" s="112"/>
      <c r="C49" s="150"/>
      <c r="D49" s="150"/>
      <c r="E49" s="151"/>
      <c r="F49" s="151"/>
      <c r="G49" s="151"/>
      <c r="H49" s="152"/>
      <c r="I49" s="139"/>
      <c r="J49" s="164"/>
      <c r="K49" s="41"/>
    </row>
    <row r="50" spans="1:13" ht="15.75" x14ac:dyDescent="0.25">
      <c r="A50" s="12" t="s">
        <v>45</v>
      </c>
      <c r="B50" s="112" t="s">
        <v>14</v>
      </c>
      <c r="C50" s="153">
        <f>C52+C53+C54</f>
        <v>31331.200000000001</v>
      </c>
      <c r="D50" s="153">
        <f t="shared" ref="D50:F50" si="4">D52+D53+D54</f>
        <v>13420.399999999998</v>
      </c>
      <c r="E50" s="153">
        <f t="shared" si="4"/>
        <v>25710</v>
      </c>
      <c r="F50" s="153">
        <f t="shared" si="4"/>
        <v>10450</v>
      </c>
      <c r="G50" s="153">
        <f>SUM(G51:G54)</f>
        <v>25710</v>
      </c>
      <c r="H50" s="116">
        <f>F50/D50%</f>
        <v>77.866531548985137</v>
      </c>
      <c r="I50" s="116">
        <f>F50/E50%</f>
        <v>40.645663166083231</v>
      </c>
      <c r="J50" s="157">
        <f>G50/C50%</f>
        <v>82.058778470023483</v>
      </c>
      <c r="K50" s="1"/>
      <c r="M50" s="88"/>
    </row>
    <row r="51" spans="1:13" ht="15.75" x14ac:dyDescent="0.25">
      <c r="A51" s="43" t="s">
        <v>46</v>
      </c>
      <c r="B51" s="13"/>
      <c r="C51" s="44"/>
      <c r="D51" s="44"/>
      <c r="E51" s="44"/>
      <c r="F51" s="44"/>
      <c r="G51" s="44"/>
      <c r="H51" s="45"/>
      <c r="I51" s="40"/>
      <c r="J51" s="165"/>
      <c r="K51" s="1"/>
    </row>
    <row r="52" spans="1:13" ht="15.75" x14ac:dyDescent="0.25">
      <c r="A52" s="47" t="s">
        <v>47</v>
      </c>
      <c r="B52" s="48" t="s">
        <v>14</v>
      </c>
      <c r="C52" s="44">
        <v>1591</v>
      </c>
      <c r="D52" s="44">
        <v>923.3</v>
      </c>
      <c r="E52" s="44">
        <v>2500</v>
      </c>
      <c r="F52" s="44">
        <v>350</v>
      </c>
      <c r="G52" s="44">
        <v>2500</v>
      </c>
      <c r="H52" s="31">
        <f t="shared" ref="H52:H57" si="5">F52/D52%</f>
        <v>37.907505686125859</v>
      </c>
      <c r="I52" s="31">
        <f t="shared" ref="I52:I57" si="6">F52/E52%</f>
        <v>14</v>
      </c>
      <c r="J52" s="158">
        <f t="shared" ref="J52:J57" si="7">G52/C52%</f>
        <v>157.13387806411063</v>
      </c>
      <c r="K52" s="1"/>
    </row>
    <row r="53" spans="1:13" ht="15.75" x14ac:dyDescent="0.25">
      <c r="A53" s="47" t="s">
        <v>48</v>
      </c>
      <c r="B53" s="48" t="s">
        <v>14</v>
      </c>
      <c r="C53" s="44">
        <v>21597</v>
      </c>
      <c r="D53" s="44">
        <v>8985.4</v>
      </c>
      <c r="E53" s="44">
        <v>17000</v>
      </c>
      <c r="F53" s="44">
        <v>7000</v>
      </c>
      <c r="G53" s="44">
        <v>17000</v>
      </c>
      <c r="H53" s="31">
        <f t="shared" si="5"/>
        <v>77.904155630244617</v>
      </c>
      <c r="I53" s="31">
        <f t="shared" si="6"/>
        <v>41.176470588235297</v>
      </c>
      <c r="J53" s="158">
        <f t="shared" si="7"/>
        <v>78.7146362920776</v>
      </c>
      <c r="K53" s="1"/>
    </row>
    <row r="54" spans="1:13" ht="15.75" x14ac:dyDescent="0.25">
      <c r="A54" s="49" t="s">
        <v>49</v>
      </c>
      <c r="B54" s="48" t="s">
        <v>14</v>
      </c>
      <c r="C54" s="44">
        <v>8143.2</v>
      </c>
      <c r="D54" s="44">
        <v>3511.7</v>
      </c>
      <c r="E54" s="44">
        <v>6210</v>
      </c>
      <c r="F54" s="44">
        <v>3100</v>
      </c>
      <c r="G54" s="44">
        <v>6210</v>
      </c>
      <c r="H54" s="31">
        <f t="shared" si="5"/>
        <v>88.276333399777897</v>
      </c>
      <c r="I54" s="31">
        <f t="shared" si="6"/>
        <v>49.919484702093399</v>
      </c>
      <c r="J54" s="158">
        <f t="shared" si="7"/>
        <v>76.259946949602124</v>
      </c>
      <c r="K54" s="1"/>
    </row>
    <row r="55" spans="1:13" ht="15.75" x14ac:dyDescent="0.25">
      <c r="A55" s="12" t="s">
        <v>50</v>
      </c>
      <c r="B55" s="13" t="s">
        <v>14</v>
      </c>
      <c r="C55" s="42">
        <v>259047</v>
      </c>
      <c r="D55" s="42">
        <v>230388</v>
      </c>
      <c r="E55" s="42">
        <v>236324</v>
      </c>
      <c r="F55" s="42">
        <v>131562</v>
      </c>
      <c r="G55" s="42">
        <v>288287</v>
      </c>
      <c r="H55" s="15">
        <f t="shared" si="5"/>
        <v>57.104536694619512</v>
      </c>
      <c r="I55" s="15">
        <f t="shared" si="6"/>
        <v>55.670181615070838</v>
      </c>
      <c r="J55" s="157">
        <f t="shared" si="7"/>
        <v>111.28752697386962</v>
      </c>
      <c r="K55" s="1"/>
    </row>
    <row r="56" spans="1:13" ht="15.75" x14ac:dyDescent="0.25">
      <c r="A56" s="12" t="s">
        <v>51</v>
      </c>
      <c r="B56" s="13" t="s">
        <v>14</v>
      </c>
      <c r="C56" s="50">
        <f>C57+C62</f>
        <v>285867</v>
      </c>
      <c r="D56" s="50">
        <f>D57+D62</f>
        <v>125482</v>
      </c>
      <c r="E56" s="50">
        <f>E57+E62</f>
        <v>232108</v>
      </c>
      <c r="F56" s="50">
        <f t="shared" ref="F56:G56" si="8">F57+F62</f>
        <v>137456</v>
      </c>
      <c r="G56" s="50">
        <f t="shared" si="8"/>
        <v>288287</v>
      </c>
      <c r="H56" s="15">
        <f t="shared" si="5"/>
        <v>109.54240448829314</v>
      </c>
      <c r="I56" s="15">
        <f t="shared" si="6"/>
        <v>59.220707601633727</v>
      </c>
      <c r="J56" s="157">
        <f t="shared" si="7"/>
        <v>100.84654752035037</v>
      </c>
      <c r="K56" s="1"/>
    </row>
    <row r="57" spans="1:13" ht="15.75" x14ac:dyDescent="0.25">
      <c r="A57" s="51" t="s">
        <v>52</v>
      </c>
      <c r="B57" s="48" t="s">
        <v>14</v>
      </c>
      <c r="C57" s="44">
        <f>SUM(C58+C60+C61)</f>
        <v>45907</v>
      </c>
      <c r="D57" s="44">
        <f>SUM(D58+D60+D61)</f>
        <v>18692</v>
      </c>
      <c r="E57" s="44">
        <f>SUM(E58+E60+E61)</f>
        <v>6821</v>
      </c>
      <c r="F57" s="44">
        <f>SUM(F58+F60+F61)</f>
        <v>23900</v>
      </c>
      <c r="G57" s="44">
        <f>SUM(G58+G60+G61)</f>
        <v>42000</v>
      </c>
      <c r="H57" s="31">
        <f t="shared" si="5"/>
        <v>127.86218703188531</v>
      </c>
      <c r="I57" s="31">
        <f t="shared" si="6"/>
        <v>350.38850608415191</v>
      </c>
      <c r="J57" s="158">
        <f t="shared" si="7"/>
        <v>91.489315354956759</v>
      </c>
      <c r="K57" s="1"/>
    </row>
    <row r="58" spans="1:13" ht="15.75" x14ac:dyDescent="0.25">
      <c r="A58" s="51" t="s">
        <v>53</v>
      </c>
      <c r="B58" s="48" t="s">
        <v>14</v>
      </c>
      <c r="C58" s="53">
        <v>5385</v>
      </c>
      <c r="D58" s="53">
        <v>1962</v>
      </c>
      <c r="E58" s="53">
        <v>6121</v>
      </c>
      <c r="F58" s="53">
        <v>9000</v>
      </c>
      <c r="G58" s="69">
        <v>12000</v>
      </c>
      <c r="H58" s="31"/>
      <c r="I58" s="31"/>
      <c r="J58" s="158"/>
      <c r="K58" s="1"/>
    </row>
    <row r="59" spans="1:13" ht="15.75" x14ac:dyDescent="0.25">
      <c r="A59" s="55" t="s">
        <v>54</v>
      </c>
      <c r="B59" s="48" t="s">
        <v>14</v>
      </c>
      <c r="C59" s="53">
        <v>1500</v>
      </c>
      <c r="D59" s="53"/>
      <c r="E59" s="53">
        <v>2500</v>
      </c>
      <c r="F59" s="53"/>
      <c r="G59" s="69">
        <f t="shared" ref="G59" si="9">E59</f>
        <v>2500</v>
      </c>
      <c r="H59" s="54"/>
      <c r="I59" s="52"/>
      <c r="J59" s="164"/>
      <c r="K59" s="1"/>
    </row>
    <row r="60" spans="1:13" ht="15.75" x14ac:dyDescent="0.25">
      <c r="A60" s="51" t="s">
        <v>55</v>
      </c>
      <c r="B60" s="48" t="s">
        <v>14</v>
      </c>
      <c r="C60" s="53">
        <v>40522</v>
      </c>
      <c r="D60" s="53">
        <v>16730</v>
      </c>
      <c r="E60" s="53"/>
      <c r="F60" s="53">
        <v>13400</v>
      </c>
      <c r="G60" s="69">
        <v>27000</v>
      </c>
      <c r="H60" s="54"/>
      <c r="I60" s="52"/>
      <c r="J60" s="164"/>
      <c r="K60" s="1"/>
    </row>
    <row r="61" spans="1:13" ht="15.75" x14ac:dyDescent="0.25">
      <c r="A61" s="51" t="s">
        <v>56</v>
      </c>
      <c r="B61" s="48" t="s">
        <v>14</v>
      </c>
      <c r="C61" s="53"/>
      <c r="D61" s="53"/>
      <c r="E61" s="53">
        <v>700</v>
      </c>
      <c r="F61" s="53">
        <v>1500</v>
      </c>
      <c r="G61" s="69">
        <v>3000</v>
      </c>
      <c r="H61" s="54"/>
      <c r="I61" s="52"/>
      <c r="J61" s="164"/>
      <c r="K61" s="1"/>
    </row>
    <row r="62" spans="1:13" ht="15.75" x14ac:dyDescent="0.25">
      <c r="A62" s="51" t="s">
        <v>57</v>
      </c>
      <c r="B62" s="48" t="s">
        <v>14</v>
      </c>
      <c r="C62" s="53">
        <v>239960</v>
      </c>
      <c r="D62" s="53">
        <v>106790</v>
      </c>
      <c r="E62" s="53">
        <v>225287</v>
      </c>
      <c r="F62" s="53">
        <v>113556</v>
      </c>
      <c r="G62" s="53">
        <v>246287</v>
      </c>
      <c r="H62" s="31">
        <f>F62/D62%</f>
        <v>106.33579923213783</v>
      </c>
      <c r="I62" s="31">
        <f>F62/E62%</f>
        <v>50.405038905928883</v>
      </c>
      <c r="J62" s="158">
        <f>G62/C62%</f>
        <v>102.63668944824138</v>
      </c>
      <c r="K62" s="1"/>
    </row>
    <row r="63" spans="1:13" ht="15.75" hidden="1" x14ac:dyDescent="0.25">
      <c r="A63" s="51" t="s">
        <v>58</v>
      </c>
      <c r="B63" s="48" t="s">
        <v>14</v>
      </c>
      <c r="C63" s="53"/>
      <c r="D63" s="53"/>
      <c r="E63" s="53"/>
      <c r="F63" s="53"/>
      <c r="G63" s="50"/>
      <c r="H63" s="54"/>
      <c r="I63" s="34"/>
      <c r="J63" s="164"/>
      <c r="K63" s="1"/>
    </row>
    <row r="64" spans="1:13" ht="15.75" hidden="1" x14ac:dyDescent="0.25">
      <c r="A64" s="51" t="s">
        <v>59</v>
      </c>
      <c r="B64" s="48" t="s">
        <v>14</v>
      </c>
      <c r="C64" s="53"/>
      <c r="D64" s="53"/>
      <c r="E64" s="53"/>
      <c r="F64" s="53"/>
      <c r="G64" s="50"/>
      <c r="H64" s="54"/>
      <c r="I64" s="34"/>
      <c r="J64" s="164"/>
      <c r="K64" s="1"/>
    </row>
    <row r="65" spans="1:12" ht="15.75" hidden="1" x14ac:dyDescent="0.25">
      <c r="A65" s="51" t="s">
        <v>60</v>
      </c>
      <c r="B65" s="48" t="s">
        <v>14</v>
      </c>
      <c r="C65" s="56"/>
      <c r="D65" s="56"/>
      <c r="E65" s="56"/>
      <c r="F65" s="56"/>
      <c r="G65" s="50"/>
      <c r="H65" s="54"/>
      <c r="I65" s="34"/>
      <c r="J65" s="164"/>
      <c r="K65" s="1"/>
    </row>
    <row r="66" spans="1:12" ht="15.75" x14ac:dyDescent="0.25">
      <c r="A66" s="12" t="s">
        <v>61</v>
      </c>
      <c r="B66" s="13" t="s">
        <v>14</v>
      </c>
      <c r="C66" s="68">
        <f t="shared" ref="C66:G66" si="10">SUM(C67:C70)</f>
        <v>389700</v>
      </c>
      <c r="D66" s="68">
        <f t="shared" si="10"/>
        <v>189000</v>
      </c>
      <c r="E66" s="68">
        <f t="shared" si="10"/>
        <v>412000</v>
      </c>
      <c r="F66" s="68">
        <f t="shared" si="10"/>
        <v>164800</v>
      </c>
      <c r="G66" s="68">
        <f t="shared" si="10"/>
        <v>450000</v>
      </c>
      <c r="H66" s="15">
        <f>F66/D66%</f>
        <v>87.195767195767189</v>
      </c>
      <c r="I66" s="15">
        <f>F66/E66%</f>
        <v>40</v>
      </c>
      <c r="J66" s="157">
        <f>G66/C66%</f>
        <v>115.47344110854503</v>
      </c>
      <c r="K66" s="1"/>
    </row>
    <row r="67" spans="1:12" ht="15.75" x14ac:dyDescent="0.25">
      <c r="A67" s="51" t="s">
        <v>62</v>
      </c>
      <c r="B67" s="48" t="s">
        <v>14</v>
      </c>
      <c r="C67" s="69">
        <v>279000</v>
      </c>
      <c r="D67" s="69">
        <v>125718.79999999999</v>
      </c>
      <c r="E67" s="70">
        <v>290000</v>
      </c>
      <c r="F67" s="70">
        <v>115500</v>
      </c>
      <c r="G67" s="70">
        <v>328000</v>
      </c>
      <c r="H67" s="31">
        <f>F67/D67%</f>
        <v>91.871700970737876</v>
      </c>
      <c r="I67" s="31">
        <f>F67/E67%</f>
        <v>39.827586206896555</v>
      </c>
      <c r="J67" s="158">
        <f>G67/C67%</f>
        <v>117.56272401433692</v>
      </c>
      <c r="K67" s="1"/>
    </row>
    <row r="68" spans="1:12" ht="15.75" x14ac:dyDescent="0.25">
      <c r="A68" s="51" t="s">
        <v>63</v>
      </c>
      <c r="B68" s="48" t="s">
        <v>14</v>
      </c>
      <c r="C68" s="69">
        <v>29500</v>
      </c>
      <c r="D68" s="69">
        <v>14443.2</v>
      </c>
      <c r="E68" s="70">
        <v>34000</v>
      </c>
      <c r="F68" s="70">
        <v>12600</v>
      </c>
      <c r="G68" s="70">
        <v>34000</v>
      </c>
      <c r="H68" s="31">
        <f>F68/D68%</f>
        <v>87.238285144566291</v>
      </c>
      <c r="I68" s="31">
        <f>F68/E68%</f>
        <v>37.058823529411768</v>
      </c>
      <c r="J68" s="158">
        <f>G68/C68%</f>
        <v>115.2542372881356</v>
      </c>
      <c r="K68" s="1"/>
      <c r="L68" s="67"/>
    </row>
    <row r="69" spans="1:12" ht="15.75" x14ac:dyDescent="0.25">
      <c r="A69" s="51" t="s">
        <v>64</v>
      </c>
      <c r="B69" s="48" t="s">
        <v>14</v>
      </c>
      <c r="C69" s="69">
        <v>35200</v>
      </c>
      <c r="D69" s="69">
        <v>13340</v>
      </c>
      <c r="E69" s="70">
        <v>12000</v>
      </c>
      <c r="F69" s="70">
        <v>4900</v>
      </c>
      <c r="G69" s="70">
        <v>12000</v>
      </c>
      <c r="H69" s="31">
        <f>F69/D69%</f>
        <v>36.731634182908543</v>
      </c>
      <c r="I69" s="31">
        <f>F69/E69%</f>
        <v>40.833333333333336</v>
      </c>
      <c r="J69" s="158">
        <f>G69/C69%</f>
        <v>34.090909090909093</v>
      </c>
      <c r="K69" s="1"/>
    </row>
    <row r="70" spans="1:12" ht="15.75" x14ac:dyDescent="0.25">
      <c r="A70" s="51" t="s">
        <v>65</v>
      </c>
      <c r="B70" s="48" t="s">
        <v>14</v>
      </c>
      <c r="C70" s="71">
        <v>46000</v>
      </c>
      <c r="D70" s="71">
        <v>35498</v>
      </c>
      <c r="E70" s="70">
        <v>76000</v>
      </c>
      <c r="F70" s="70">
        <v>31800</v>
      </c>
      <c r="G70" s="70">
        <v>76000</v>
      </c>
      <c r="H70" s="31">
        <f>F70/D70%</f>
        <v>89.582511690799478</v>
      </c>
      <c r="I70" s="31">
        <f>F70/E70%</f>
        <v>41.842105263157897</v>
      </c>
      <c r="J70" s="158">
        <f>G70/C70%</f>
        <v>165.21739130434781</v>
      </c>
      <c r="K70" s="1"/>
    </row>
    <row r="71" spans="1:12" ht="15.75" x14ac:dyDescent="0.25">
      <c r="A71" s="7" t="s">
        <v>66</v>
      </c>
      <c r="B71" s="48"/>
      <c r="C71" s="57"/>
      <c r="D71" s="57"/>
      <c r="E71" s="8"/>
      <c r="F71" s="8"/>
      <c r="G71" s="92"/>
      <c r="H71" s="93"/>
      <c r="I71" s="94"/>
      <c r="J71" s="63"/>
      <c r="K71" s="1"/>
    </row>
    <row r="72" spans="1:12" ht="15.75" x14ac:dyDescent="0.25">
      <c r="A72" s="51" t="s">
        <v>67</v>
      </c>
      <c r="B72" s="48" t="s">
        <v>68</v>
      </c>
      <c r="C72" s="72">
        <f>+C73+C74</f>
        <v>27.904</v>
      </c>
      <c r="D72" s="73"/>
      <c r="E72" s="72">
        <f>+E73+E74</f>
        <v>28.553999999999998</v>
      </c>
      <c r="F72" s="72"/>
      <c r="G72" s="95">
        <f>+G73+G74</f>
        <v>28.553999999999998</v>
      </c>
      <c r="H72" s="97"/>
      <c r="I72" s="98"/>
      <c r="J72" s="63"/>
      <c r="K72" s="1"/>
    </row>
    <row r="73" spans="1:12" ht="15.75" x14ac:dyDescent="0.25">
      <c r="A73" s="49" t="s">
        <v>69</v>
      </c>
      <c r="B73" s="48" t="s">
        <v>68</v>
      </c>
      <c r="C73" s="72">
        <v>4.2380000000000004</v>
      </c>
      <c r="D73" s="73"/>
      <c r="E73" s="8">
        <v>4.4420000000000002</v>
      </c>
      <c r="F73" s="8"/>
      <c r="G73" s="96">
        <f t="shared" ref="G73:G75" si="11">+E73</f>
        <v>4.4420000000000002</v>
      </c>
      <c r="H73" s="97"/>
      <c r="I73" s="98"/>
      <c r="J73" s="63"/>
      <c r="K73" s="1"/>
    </row>
    <row r="74" spans="1:12" ht="15.75" x14ac:dyDescent="0.25">
      <c r="A74" s="58" t="s">
        <v>70</v>
      </c>
      <c r="B74" s="48" t="s">
        <v>68</v>
      </c>
      <c r="C74" s="74">
        <v>23.666</v>
      </c>
      <c r="D74" s="73"/>
      <c r="E74" s="73">
        <v>24.111999999999998</v>
      </c>
      <c r="F74" s="73"/>
      <c r="G74" s="96">
        <f t="shared" si="11"/>
        <v>24.111999999999998</v>
      </c>
      <c r="H74" s="97"/>
      <c r="I74" s="98"/>
      <c r="J74" s="166"/>
      <c r="K74" s="1"/>
    </row>
    <row r="75" spans="1:12" ht="15.75" x14ac:dyDescent="0.25">
      <c r="A75" s="51" t="s">
        <v>71</v>
      </c>
      <c r="B75" s="48" t="s">
        <v>68</v>
      </c>
      <c r="C75" s="74">
        <v>12.128</v>
      </c>
      <c r="D75" s="73"/>
      <c r="E75" s="73">
        <v>12.526</v>
      </c>
      <c r="F75" s="73"/>
      <c r="G75" s="96">
        <f t="shared" si="11"/>
        <v>12.526</v>
      </c>
      <c r="H75" s="93"/>
      <c r="I75" s="98"/>
      <c r="J75" s="63"/>
      <c r="K75" s="1"/>
    </row>
    <row r="76" spans="1:12" ht="15.75" x14ac:dyDescent="0.25">
      <c r="A76" s="51" t="s">
        <v>72</v>
      </c>
      <c r="B76" s="48" t="s">
        <v>36</v>
      </c>
      <c r="C76" s="76">
        <f>+C73/C72%</f>
        <v>15.187786697247708</v>
      </c>
      <c r="D76" s="75"/>
      <c r="E76" s="76">
        <f>+E73/E72%</f>
        <v>15.556489458569731</v>
      </c>
      <c r="F76" s="75"/>
      <c r="G76" s="99">
        <f>+G73/G72%</f>
        <v>15.556489458569731</v>
      </c>
      <c r="H76" s="93"/>
      <c r="I76" s="98"/>
      <c r="J76" s="63"/>
      <c r="K76" s="1"/>
    </row>
    <row r="77" spans="1:12" ht="15.75" x14ac:dyDescent="0.25">
      <c r="A77" s="51" t="s">
        <v>73</v>
      </c>
      <c r="B77" s="48" t="s">
        <v>74</v>
      </c>
      <c r="C77" s="26">
        <v>6809</v>
      </c>
      <c r="D77" s="77">
        <v>6596</v>
      </c>
      <c r="E77" s="26">
        <v>6906</v>
      </c>
      <c r="F77" s="26">
        <v>6809</v>
      </c>
      <c r="G77" s="100">
        <v>6906</v>
      </c>
      <c r="H77" s="93"/>
      <c r="I77" s="98"/>
      <c r="J77" s="63"/>
      <c r="K77" s="1"/>
    </row>
    <row r="78" spans="1:12" ht="15.75" x14ac:dyDescent="0.25">
      <c r="A78" s="51" t="s">
        <v>75</v>
      </c>
      <c r="B78" s="48" t="s">
        <v>36</v>
      </c>
      <c r="C78" s="262">
        <v>1.47</v>
      </c>
      <c r="D78" s="262"/>
      <c r="E78" s="262">
        <v>1.48</v>
      </c>
      <c r="F78" s="262"/>
      <c r="G78" s="262">
        <v>1.47</v>
      </c>
      <c r="H78" s="97"/>
      <c r="I78" s="102"/>
      <c r="J78" s="63"/>
      <c r="K78" s="1"/>
    </row>
    <row r="79" spans="1:12" ht="15.75" x14ac:dyDescent="0.25">
      <c r="A79" s="51" t="s">
        <v>76</v>
      </c>
      <c r="B79" s="48" t="s">
        <v>77</v>
      </c>
      <c r="C79" s="77">
        <v>573</v>
      </c>
      <c r="D79" s="77">
        <v>185</v>
      </c>
      <c r="E79" s="77">
        <v>500</v>
      </c>
      <c r="F79" s="77">
        <v>242</v>
      </c>
      <c r="G79" s="101">
        <v>510</v>
      </c>
      <c r="H79" s="97"/>
      <c r="I79" s="98"/>
      <c r="J79" s="63"/>
      <c r="K79" s="1"/>
    </row>
    <row r="80" spans="1:12" ht="31.5" x14ac:dyDescent="0.25">
      <c r="A80" s="65" t="s">
        <v>78</v>
      </c>
      <c r="B80" s="66" t="s">
        <v>79</v>
      </c>
      <c r="C80" s="77">
        <v>429</v>
      </c>
      <c r="D80" s="77">
        <v>205</v>
      </c>
      <c r="E80" s="77">
        <v>400</v>
      </c>
      <c r="F80" s="77">
        <v>209</v>
      </c>
      <c r="G80" s="101">
        <v>420</v>
      </c>
      <c r="H80" s="97"/>
      <c r="I80" s="98"/>
      <c r="J80" s="63"/>
      <c r="K80" s="1"/>
    </row>
    <row r="81" spans="1:11" ht="15.75" x14ac:dyDescent="0.25">
      <c r="A81" s="59" t="s">
        <v>80</v>
      </c>
      <c r="B81" s="48" t="s">
        <v>36</v>
      </c>
      <c r="C81" s="79">
        <v>7.83</v>
      </c>
      <c r="D81" s="79">
        <v>10.16</v>
      </c>
      <c r="E81" s="80">
        <v>6.3567911960613959</v>
      </c>
      <c r="F81" s="80">
        <v>7.83</v>
      </c>
      <c r="G81" s="103">
        <v>6.3567911960613959</v>
      </c>
      <c r="H81" s="93"/>
      <c r="I81" s="98"/>
      <c r="J81" s="63"/>
      <c r="K81" s="1"/>
    </row>
    <row r="82" spans="1:11" ht="15.75" x14ac:dyDescent="0.25">
      <c r="A82" s="59" t="s">
        <v>81</v>
      </c>
      <c r="B82" s="48" t="s">
        <v>36</v>
      </c>
      <c r="C82" s="40" t="s">
        <v>191</v>
      </c>
      <c r="D82" s="40" t="s">
        <v>192</v>
      </c>
      <c r="E82" s="81" t="s">
        <v>193</v>
      </c>
      <c r="F82" s="81" t="s">
        <v>194</v>
      </c>
      <c r="G82" s="104" t="s">
        <v>193</v>
      </c>
      <c r="H82" s="93"/>
      <c r="I82" s="98"/>
      <c r="J82" s="63"/>
      <c r="K82" s="1"/>
    </row>
    <row r="83" spans="1:11" ht="15.75" x14ac:dyDescent="0.25">
      <c r="A83" s="59" t="s">
        <v>83</v>
      </c>
      <c r="B83" s="48" t="s">
        <v>36</v>
      </c>
      <c r="C83" s="40">
        <v>86</v>
      </c>
      <c r="D83" s="40"/>
      <c r="E83" s="81">
        <v>94</v>
      </c>
      <c r="F83" s="81">
        <v>92</v>
      </c>
      <c r="G83" s="81">
        <f>+E83</f>
        <v>94</v>
      </c>
      <c r="H83" s="260"/>
      <c r="I83" s="261"/>
      <c r="J83" s="63"/>
      <c r="K83" s="1"/>
    </row>
    <row r="84" spans="1:11" ht="15.75" x14ac:dyDescent="0.25">
      <c r="A84" s="51" t="s">
        <v>84</v>
      </c>
      <c r="B84" s="48" t="s">
        <v>36</v>
      </c>
      <c r="C84" s="78">
        <v>47.790909090909096</v>
      </c>
      <c r="D84" s="78">
        <v>45</v>
      </c>
      <c r="E84" s="78">
        <v>74.090909090909093</v>
      </c>
      <c r="F84" s="78">
        <v>47.8</v>
      </c>
      <c r="G84" s="105">
        <v>55</v>
      </c>
      <c r="H84" s="93"/>
      <c r="I84" s="98"/>
      <c r="J84" s="63"/>
      <c r="K84" s="1"/>
    </row>
    <row r="85" spans="1:11" ht="15.75" x14ac:dyDescent="0.25">
      <c r="A85" s="51" t="s">
        <v>85</v>
      </c>
      <c r="B85" s="48" t="s">
        <v>36</v>
      </c>
      <c r="C85" s="75">
        <v>90.09</v>
      </c>
      <c r="D85" s="78">
        <v>84.6</v>
      </c>
      <c r="E85" s="78">
        <v>93.5</v>
      </c>
      <c r="F85" s="78">
        <v>91.2</v>
      </c>
      <c r="G85" s="105">
        <f>+E85</f>
        <v>93.5</v>
      </c>
      <c r="H85" s="93"/>
      <c r="I85" s="98"/>
      <c r="J85" s="63"/>
      <c r="K85" s="1"/>
    </row>
    <row r="86" spans="1:11" ht="16.5" thickBot="1" x14ac:dyDescent="0.3">
      <c r="A86" s="82" t="s">
        <v>86</v>
      </c>
      <c r="B86" s="83" t="s">
        <v>36</v>
      </c>
      <c r="C86" s="84">
        <v>83.3</v>
      </c>
      <c r="D86" s="84">
        <v>83.3</v>
      </c>
      <c r="E86" s="84">
        <v>83.4</v>
      </c>
      <c r="F86" s="84">
        <v>83.3</v>
      </c>
      <c r="G86" s="84">
        <v>83.4</v>
      </c>
      <c r="H86" s="85"/>
      <c r="I86" s="86"/>
      <c r="J86" s="87"/>
      <c r="K86" s="1"/>
    </row>
    <row r="87" spans="1:11" ht="15.75" thickTop="1" x14ac:dyDescent="0.25"/>
  </sheetData>
  <mergeCells count="10">
    <mergeCell ref="A1:J1"/>
    <mergeCell ref="G4:G5"/>
    <mergeCell ref="H4:J4"/>
    <mergeCell ref="A2:J2"/>
    <mergeCell ref="A3:J3"/>
    <mergeCell ref="A4:A5"/>
    <mergeCell ref="B4:B5"/>
    <mergeCell ref="C4:C5"/>
    <mergeCell ref="D4:D5"/>
    <mergeCell ref="E4:F4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  <headerFooter>
    <oddFooter>&amp;CTrang 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91"/>
  <sheetViews>
    <sheetView tabSelected="1" topLeftCell="A4" zoomScaleNormal="100" workbookViewId="0">
      <pane ySplit="2" topLeftCell="A57" activePane="bottomLeft" state="frozen"/>
      <selection activeCell="A4" sqref="A4"/>
      <selection pane="bottomLeft" activeCell="F51" sqref="F51"/>
    </sheetView>
  </sheetViews>
  <sheetFormatPr defaultRowHeight="12.75" x14ac:dyDescent="0.2"/>
  <cols>
    <col min="1" max="1" width="34.85546875" style="167" customWidth="1"/>
    <col min="2" max="2" width="9.140625" style="167" customWidth="1"/>
    <col min="3" max="7" width="11" style="167" customWidth="1"/>
    <col min="8" max="10" width="9.85546875" style="167" customWidth="1"/>
    <col min="11" max="11" width="10.85546875" style="167" customWidth="1"/>
    <col min="12" max="12" width="9.140625" style="167"/>
    <col min="13" max="14" width="9.28515625" style="167" bestFit="1" customWidth="1"/>
    <col min="15" max="256" width="9.140625" style="167"/>
    <col min="257" max="257" width="34.85546875" style="167" customWidth="1"/>
    <col min="258" max="258" width="10.7109375" style="167" customWidth="1"/>
    <col min="259" max="259" width="11.85546875" style="167" customWidth="1"/>
    <col min="260" max="260" width="11.42578125" style="167" customWidth="1"/>
    <col min="261" max="261" width="11.5703125" style="167" customWidth="1"/>
    <col min="262" max="262" width="12" style="167" customWidth="1"/>
    <col min="263" max="263" width="11.85546875" style="167" customWidth="1"/>
    <col min="264" max="264" width="9.5703125" style="167" customWidth="1"/>
    <col min="265" max="265" width="10.28515625" style="167" customWidth="1"/>
    <col min="266" max="266" width="11.42578125" style="167" customWidth="1"/>
    <col min="267" max="267" width="10.85546875" style="167" customWidth="1"/>
    <col min="268" max="268" width="9.140625" style="167"/>
    <col min="269" max="270" width="9.28515625" style="167" bestFit="1" customWidth="1"/>
    <col min="271" max="512" width="9.140625" style="167"/>
    <col min="513" max="513" width="34.85546875" style="167" customWidth="1"/>
    <col min="514" max="514" width="10.7109375" style="167" customWidth="1"/>
    <col min="515" max="515" width="11.85546875" style="167" customWidth="1"/>
    <col min="516" max="516" width="11.42578125" style="167" customWidth="1"/>
    <col min="517" max="517" width="11.5703125" style="167" customWidth="1"/>
    <col min="518" max="518" width="12" style="167" customWidth="1"/>
    <col min="519" max="519" width="11.85546875" style="167" customWidth="1"/>
    <col min="520" max="520" width="9.5703125" style="167" customWidth="1"/>
    <col min="521" max="521" width="10.28515625" style="167" customWidth="1"/>
    <col min="522" max="522" width="11.42578125" style="167" customWidth="1"/>
    <col min="523" max="523" width="10.85546875" style="167" customWidth="1"/>
    <col min="524" max="524" width="9.140625" style="167"/>
    <col min="525" max="526" width="9.28515625" style="167" bestFit="1" customWidth="1"/>
    <col min="527" max="768" width="9.140625" style="167"/>
    <col min="769" max="769" width="34.85546875" style="167" customWidth="1"/>
    <col min="770" max="770" width="10.7109375" style="167" customWidth="1"/>
    <col min="771" max="771" width="11.85546875" style="167" customWidth="1"/>
    <col min="772" max="772" width="11.42578125" style="167" customWidth="1"/>
    <col min="773" max="773" width="11.5703125" style="167" customWidth="1"/>
    <col min="774" max="774" width="12" style="167" customWidth="1"/>
    <col min="775" max="775" width="11.85546875" style="167" customWidth="1"/>
    <col min="776" max="776" width="9.5703125" style="167" customWidth="1"/>
    <col min="777" max="777" width="10.28515625" style="167" customWidth="1"/>
    <col min="778" max="778" width="11.42578125" style="167" customWidth="1"/>
    <col min="779" max="779" width="10.85546875" style="167" customWidth="1"/>
    <col min="780" max="780" width="9.140625" style="167"/>
    <col min="781" max="782" width="9.28515625" style="167" bestFit="1" customWidth="1"/>
    <col min="783" max="1024" width="9.140625" style="167"/>
    <col min="1025" max="1025" width="34.85546875" style="167" customWidth="1"/>
    <col min="1026" max="1026" width="10.7109375" style="167" customWidth="1"/>
    <col min="1027" max="1027" width="11.85546875" style="167" customWidth="1"/>
    <col min="1028" max="1028" width="11.42578125" style="167" customWidth="1"/>
    <col min="1029" max="1029" width="11.5703125" style="167" customWidth="1"/>
    <col min="1030" max="1030" width="12" style="167" customWidth="1"/>
    <col min="1031" max="1031" width="11.85546875" style="167" customWidth="1"/>
    <col min="1032" max="1032" width="9.5703125" style="167" customWidth="1"/>
    <col min="1033" max="1033" width="10.28515625" style="167" customWidth="1"/>
    <col min="1034" max="1034" width="11.42578125" style="167" customWidth="1"/>
    <col min="1035" max="1035" width="10.85546875" style="167" customWidth="1"/>
    <col min="1036" max="1036" width="9.140625" style="167"/>
    <col min="1037" max="1038" width="9.28515625" style="167" bestFit="1" customWidth="1"/>
    <col min="1039" max="1280" width="9.140625" style="167"/>
    <col min="1281" max="1281" width="34.85546875" style="167" customWidth="1"/>
    <col min="1282" max="1282" width="10.7109375" style="167" customWidth="1"/>
    <col min="1283" max="1283" width="11.85546875" style="167" customWidth="1"/>
    <col min="1284" max="1284" width="11.42578125" style="167" customWidth="1"/>
    <col min="1285" max="1285" width="11.5703125" style="167" customWidth="1"/>
    <col min="1286" max="1286" width="12" style="167" customWidth="1"/>
    <col min="1287" max="1287" width="11.85546875" style="167" customWidth="1"/>
    <col min="1288" max="1288" width="9.5703125" style="167" customWidth="1"/>
    <col min="1289" max="1289" width="10.28515625" style="167" customWidth="1"/>
    <col min="1290" max="1290" width="11.42578125" style="167" customWidth="1"/>
    <col min="1291" max="1291" width="10.85546875" style="167" customWidth="1"/>
    <col min="1292" max="1292" width="9.140625" style="167"/>
    <col min="1293" max="1294" width="9.28515625" style="167" bestFit="1" customWidth="1"/>
    <col min="1295" max="1536" width="9.140625" style="167"/>
    <col min="1537" max="1537" width="34.85546875" style="167" customWidth="1"/>
    <col min="1538" max="1538" width="10.7109375" style="167" customWidth="1"/>
    <col min="1539" max="1539" width="11.85546875" style="167" customWidth="1"/>
    <col min="1540" max="1540" width="11.42578125" style="167" customWidth="1"/>
    <col min="1541" max="1541" width="11.5703125" style="167" customWidth="1"/>
    <col min="1542" max="1542" width="12" style="167" customWidth="1"/>
    <col min="1543" max="1543" width="11.85546875" style="167" customWidth="1"/>
    <col min="1544" max="1544" width="9.5703125" style="167" customWidth="1"/>
    <col min="1545" max="1545" width="10.28515625" style="167" customWidth="1"/>
    <col min="1546" max="1546" width="11.42578125" style="167" customWidth="1"/>
    <col min="1547" max="1547" width="10.85546875" style="167" customWidth="1"/>
    <col min="1548" max="1548" width="9.140625" style="167"/>
    <col min="1549" max="1550" width="9.28515625" style="167" bestFit="1" customWidth="1"/>
    <col min="1551" max="1792" width="9.140625" style="167"/>
    <col min="1793" max="1793" width="34.85546875" style="167" customWidth="1"/>
    <col min="1794" max="1794" width="10.7109375" style="167" customWidth="1"/>
    <col min="1795" max="1795" width="11.85546875" style="167" customWidth="1"/>
    <col min="1796" max="1796" width="11.42578125" style="167" customWidth="1"/>
    <col min="1797" max="1797" width="11.5703125" style="167" customWidth="1"/>
    <col min="1798" max="1798" width="12" style="167" customWidth="1"/>
    <col min="1799" max="1799" width="11.85546875" style="167" customWidth="1"/>
    <col min="1800" max="1800" width="9.5703125" style="167" customWidth="1"/>
    <col min="1801" max="1801" width="10.28515625" style="167" customWidth="1"/>
    <col min="1802" max="1802" width="11.42578125" style="167" customWidth="1"/>
    <col min="1803" max="1803" width="10.85546875" style="167" customWidth="1"/>
    <col min="1804" max="1804" width="9.140625" style="167"/>
    <col min="1805" max="1806" width="9.28515625" style="167" bestFit="1" customWidth="1"/>
    <col min="1807" max="2048" width="9.140625" style="167"/>
    <col min="2049" max="2049" width="34.85546875" style="167" customWidth="1"/>
    <col min="2050" max="2050" width="10.7109375" style="167" customWidth="1"/>
    <col min="2051" max="2051" width="11.85546875" style="167" customWidth="1"/>
    <col min="2052" max="2052" width="11.42578125" style="167" customWidth="1"/>
    <col min="2053" max="2053" width="11.5703125" style="167" customWidth="1"/>
    <col min="2054" max="2054" width="12" style="167" customWidth="1"/>
    <col min="2055" max="2055" width="11.85546875" style="167" customWidth="1"/>
    <col min="2056" max="2056" width="9.5703125" style="167" customWidth="1"/>
    <col min="2057" max="2057" width="10.28515625" style="167" customWidth="1"/>
    <col min="2058" max="2058" width="11.42578125" style="167" customWidth="1"/>
    <col min="2059" max="2059" width="10.85546875" style="167" customWidth="1"/>
    <col min="2060" max="2060" width="9.140625" style="167"/>
    <col min="2061" max="2062" width="9.28515625" style="167" bestFit="1" customWidth="1"/>
    <col min="2063" max="2304" width="9.140625" style="167"/>
    <col min="2305" max="2305" width="34.85546875" style="167" customWidth="1"/>
    <col min="2306" max="2306" width="10.7109375" style="167" customWidth="1"/>
    <col min="2307" max="2307" width="11.85546875" style="167" customWidth="1"/>
    <col min="2308" max="2308" width="11.42578125" style="167" customWidth="1"/>
    <col min="2309" max="2309" width="11.5703125" style="167" customWidth="1"/>
    <col min="2310" max="2310" width="12" style="167" customWidth="1"/>
    <col min="2311" max="2311" width="11.85546875" style="167" customWidth="1"/>
    <col min="2312" max="2312" width="9.5703125" style="167" customWidth="1"/>
    <col min="2313" max="2313" width="10.28515625" style="167" customWidth="1"/>
    <col min="2314" max="2314" width="11.42578125" style="167" customWidth="1"/>
    <col min="2315" max="2315" width="10.85546875" style="167" customWidth="1"/>
    <col min="2316" max="2316" width="9.140625" style="167"/>
    <col min="2317" max="2318" width="9.28515625" style="167" bestFit="1" customWidth="1"/>
    <col min="2319" max="2560" width="9.140625" style="167"/>
    <col min="2561" max="2561" width="34.85546875" style="167" customWidth="1"/>
    <col min="2562" max="2562" width="10.7109375" style="167" customWidth="1"/>
    <col min="2563" max="2563" width="11.85546875" style="167" customWidth="1"/>
    <col min="2564" max="2564" width="11.42578125" style="167" customWidth="1"/>
    <col min="2565" max="2565" width="11.5703125" style="167" customWidth="1"/>
    <col min="2566" max="2566" width="12" style="167" customWidth="1"/>
    <col min="2567" max="2567" width="11.85546875" style="167" customWidth="1"/>
    <col min="2568" max="2568" width="9.5703125" style="167" customWidth="1"/>
    <col min="2569" max="2569" width="10.28515625" style="167" customWidth="1"/>
    <col min="2570" max="2570" width="11.42578125" style="167" customWidth="1"/>
    <col min="2571" max="2571" width="10.85546875" style="167" customWidth="1"/>
    <col min="2572" max="2572" width="9.140625" style="167"/>
    <col min="2573" max="2574" width="9.28515625" style="167" bestFit="1" customWidth="1"/>
    <col min="2575" max="2816" width="9.140625" style="167"/>
    <col min="2817" max="2817" width="34.85546875" style="167" customWidth="1"/>
    <col min="2818" max="2818" width="10.7109375" style="167" customWidth="1"/>
    <col min="2819" max="2819" width="11.85546875" style="167" customWidth="1"/>
    <col min="2820" max="2820" width="11.42578125" style="167" customWidth="1"/>
    <col min="2821" max="2821" width="11.5703125" style="167" customWidth="1"/>
    <col min="2822" max="2822" width="12" style="167" customWidth="1"/>
    <col min="2823" max="2823" width="11.85546875" style="167" customWidth="1"/>
    <col min="2824" max="2824" width="9.5703125" style="167" customWidth="1"/>
    <col min="2825" max="2825" width="10.28515625" style="167" customWidth="1"/>
    <col min="2826" max="2826" width="11.42578125" style="167" customWidth="1"/>
    <col min="2827" max="2827" width="10.85546875" style="167" customWidth="1"/>
    <col min="2828" max="2828" width="9.140625" style="167"/>
    <col min="2829" max="2830" width="9.28515625" style="167" bestFit="1" customWidth="1"/>
    <col min="2831" max="3072" width="9.140625" style="167"/>
    <col min="3073" max="3073" width="34.85546875" style="167" customWidth="1"/>
    <col min="3074" max="3074" width="10.7109375" style="167" customWidth="1"/>
    <col min="3075" max="3075" width="11.85546875" style="167" customWidth="1"/>
    <col min="3076" max="3076" width="11.42578125" style="167" customWidth="1"/>
    <col min="3077" max="3077" width="11.5703125" style="167" customWidth="1"/>
    <col min="3078" max="3078" width="12" style="167" customWidth="1"/>
    <col min="3079" max="3079" width="11.85546875" style="167" customWidth="1"/>
    <col min="3080" max="3080" width="9.5703125" style="167" customWidth="1"/>
    <col min="3081" max="3081" width="10.28515625" style="167" customWidth="1"/>
    <col min="3082" max="3082" width="11.42578125" style="167" customWidth="1"/>
    <col min="3083" max="3083" width="10.85546875" style="167" customWidth="1"/>
    <col min="3084" max="3084" width="9.140625" style="167"/>
    <col min="3085" max="3086" width="9.28515625" style="167" bestFit="1" customWidth="1"/>
    <col min="3087" max="3328" width="9.140625" style="167"/>
    <col min="3329" max="3329" width="34.85546875" style="167" customWidth="1"/>
    <col min="3330" max="3330" width="10.7109375" style="167" customWidth="1"/>
    <col min="3331" max="3331" width="11.85546875" style="167" customWidth="1"/>
    <col min="3332" max="3332" width="11.42578125" style="167" customWidth="1"/>
    <col min="3333" max="3333" width="11.5703125" style="167" customWidth="1"/>
    <col min="3334" max="3334" width="12" style="167" customWidth="1"/>
    <col min="3335" max="3335" width="11.85546875" style="167" customWidth="1"/>
    <col min="3336" max="3336" width="9.5703125" style="167" customWidth="1"/>
    <col min="3337" max="3337" width="10.28515625" style="167" customWidth="1"/>
    <col min="3338" max="3338" width="11.42578125" style="167" customWidth="1"/>
    <col min="3339" max="3339" width="10.85546875" style="167" customWidth="1"/>
    <col min="3340" max="3340" width="9.140625" style="167"/>
    <col min="3341" max="3342" width="9.28515625" style="167" bestFit="1" customWidth="1"/>
    <col min="3343" max="3584" width="9.140625" style="167"/>
    <col min="3585" max="3585" width="34.85546875" style="167" customWidth="1"/>
    <col min="3586" max="3586" width="10.7109375" style="167" customWidth="1"/>
    <col min="3587" max="3587" width="11.85546875" style="167" customWidth="1"/>
    <col min="3588" max="3588" width="11.42578125" style="167" customWidth="1"/>
    <col min="3589" max="3589" width="11.5703125" style="167" customWidth="1"/>
    <col min="3590" max="3590" width="12" style="167" customWidth="1"/>
    <col min="3591" max="3591" width="11.85546875" style="167" customWidth="1"/>
    <col min="3592" max="3592" width="9.5703125" style="167" customWidth="1"/>
    <col min="3593" max="3593" width="10.28515625" style="167" customWidth="1"/>
    <col min="3594" max="3594" width="11.42578125" style="167" customWidth="1"/>
    <col min="3595" max="3595" width="10.85546875" style="167" customWidth="1"/>
    <col min="3596" max="3596" width="9.140625" style="167"/>
    <col min="3597" max="3598" width="9.28515625" style="167" bestFit="1" customWidth="1"/>
    <col min="3599" max="3840" width="9.140625" style="167"/>
    <col min="3841" max="3841" width="34.85546875" style="167" customWidth="1"/>
    <col min="3842" max="3842" width="10.7109375" style="167" customWidth="1"/>
    <col min="3843" max="3843" width="11.85546875" style="167" customWidth="1"/>
    <col min="3844" max="3844" width="11.42578125" style="167" customWidth="1"/>
    <col min="3845" max="3845" width="11.5703125" style="167" customWidth="1"/>
    <col min="3846" max="3846" width="12" style="167" customWidth="1"/>
    <col min="3847" max="3847" width="11.85546875" style="167" customWidth="1"/>
    <col min="3848" max="3848" width="9.5703125" style="167" customWidth="1"/>
    <col min="3849" max="3849" width="10.28515625" style="167" customWidth="1"/>
    <col min="3850" max="3850" width="11.42578125" style="167" customWidth="1"/>
    <col min="3851" max="3851" width="10.85546875" style="167" customWidth="1"/>
    <col min="3852" max="3852" width="9.140625" style="167"/>
    <col min="3853" max="3854" width="9.28515625" style="167" bestFit="1" customWidth="1"/>
    <col min="3855" max="4096" width="9.140625" style="167"/>
    <col min="4097" max="4097" width="34.85546875" style="167" customWidth="1"/>
    <col min="4098" max="4098" width="10.7109375" style="167" customWidth="1"/>
    <col min="4099" max="4099" width="11.85546875" style="167" customWidth="1"/>
    <col min="4100" max="4100" width="11.42578125" style="167" customWidth="1"/>
    <col min="4101" max="4101" width="11.5703125" style="167" customWidth="1"/>
    <col min="4102" max="4102" width="12" style="167" customWidth="1"/>
    <col min="4103" max="4103" width="11.85546875" style="167" customWidth="1"/>
    <col min="4104" max="4104" width="9.5703125" style="167" customWidth="1"/>
    <col min="4105" max="4105" width="10.28515625" style="167" customWidth="1"/>
    <col min="4106" max="4106" width="11.42578125" style="167" customWidth="1"/>
    <col min="4107" max="4107" width="10.85546875" style="167" customWidth="1"/>
    <col min="4108" max="4108" width="9.140625" style="167"/>
    <col min="4109" max="4110" width="9.28515625" style="167" bestFit="1" customWidth="1"/>
    <col min="4111" max="4352" width="9.140625" style="167"/>
    <col min="4353" max="4353" width="34.85546875" style="167" customWidth="1"/>
    <col min="4354" max="4354" width="10.7109375" style="167" customWidth="1"/>
    <col min="4355" max="4355" width="11.85546875" style="167" customWidth="1"/>
    <col min="4356" max="4356" width="11.42578125" style="167" customWidth="1"/>
    <col min="4357" max="4357" width="11.5703125" style="167" customWidth="1"/>
    <col min="4358" max="4358" width="12" style="167" customWidth="1"/>
    <col min="4359" max="4359" width="11.85546875" style="167" customWidth="1"/>
    <col min="4360" max="4360" width="9.5703125" style="167" customWidth="1"/>
    <col min="4361" max="4361" width="10.28515625" style="167" customWidth="1"/>
    <col min="4362" max="4362" width="11.42578125" style="167" customWidth="1"/>
    <col min="4363" max="4363" width="10.85546875" style="167" customWidth="1"/>
    <col min="4364" max="4364" width="9.140625" style="167"/>
    <col min="4365" max="4366" width="9.28515625" style="167" bestFit="1" customWidth="1"/>
    <col min="4367" max="4608" width="9.140625" style="167"/>
    <col min="4609" max="4609" width="34.85546875" style="167" customWidth="1"/>
    <col min="4610" max="4610" width="10.7109375" style="167" customWidth="1"/>
    <col min="4611" max="4611" width="11.85546875" style="167" customWidth="1"/>
    <col min="4612" max="4612" width="11.42578125" style="167" customWidth="1"/>
    <col min="4613" max="4613" width="11.5703125" style="167" customWidth="1"/>
    <col min="4614" max="4614" width="12" style="167" customWidth="1"/>
    <col min="4615" max="4615" width="11.85546875" style="167" customWidth="1"/>
    <col min="4616" max="4616" width="9.5703125" style="167" customWidth="1"/>
    <col min="4617" max="4617" width="10.28515625" style="167" customWidth="1"/>
    <col min="4618" max="4618" width="11.42578125" style="167" customWidth="1"/>
    <col min="4619" max="4619" width="10.85546875" style="167" customWidth="1"/>
    <col min="4620" max="4620" width="9.140625" style="167"/>
    <col min="4621" max="4622" width="9.28515625" style="167" bestFit="1" customWidth="1"/>
    <col min="4623" max="4864" width="9.140625" style="167"/>
    <col min="4865" max="4865" width="34.85546875" style="167" customWidth="1"/>
    <col min="4866" max="4866" width="10.7109375" style="167" customWidth="1"/>
    <col min="4867" max="4867" width="11.85546875" style="167" customWidth="1"/>
    <col min="4868" max="4868" width="11.42578125" style="167" customWidth="1"/>
    <col min="4869" max="4869" width="11.5703125" style="167" customWidth="1"/>
    <col min="4870" max="4870" width="12" style="167" customWidth="1"/>
    <col min="4871" max="4871" width="11.85546875" style="167" customWidth="1"/>
    <col min="4872" max="4872" width="9.5703125" style="167" customWidth="1"/>
    <col min="4873" max="4873" width="10.28515625" style="167" customWidth="1"/>
    <col min="4874" max="4874" width="11.42578125" style="167" customWidth="1"/>
    <col min="4875" max="4875" width="10.85546875" style="167" customWidth="1"/>
    <col min="4876" max="4876" width="9.140625" style="167"/>
    <col min="4877" max="4878" width="9.28515625" style="167" bestFit="1" customWidth="1"/>
    <col min="4879" max="5120" width="9.140625" style="167"/>
    <col min="5121" max="5121" width="34.85546875" style="167" customWidth="1"/>
    <col min="5122" max="5122" width="10.7109375" style="167" customWidth="1"/>
    <col min="5123" max="5123" width="11.85546875" style="167" customWidth="1"/>
    <col min="5124" max="5124" width="11.42578125" style="167" customWidth="1"/>
    <col min="5125" max="5125" width="11.5703125" style="167" customWidth="1"/>
    <col min="5126" max="5126" width="12" style="167" customWidth="1"/>
    <col min="5127" max="5127" width="11.85546875" style="167" customWidth="1"/>
    <col min="5128" max="5128" width="9.5703125" style="167" customWidth="1"/>
    <col min="5129" max="5129" width="10.28515625" style="167" customWidth="1"/>
    <col min="5130" max="5130" width="11.42578125" style="167" customWidth="1"/>
    <col min="5131" max="5131" width="10.85546875" style="167" customWidth="1"/>
    <col min="5132" max="5132" width="9.140625" style="167"/>
    <col min="5133" max="5134" width="9.28515625" style="167" bestFit="1" customWidth="1"/>
    <col min="5135" max="5376" width="9.140625" style="167"/>
    <col min="5377" max="5377" width="34.85546875" style="167" customWidth="1"/>
    <col min="5378" max="5378" width="10.7109375" style="167" customWidth="1"/>
    <col min="5379" max="5379" width="11.85546875" style="167" customWidth="1"/>
    <col min="5380" max="5380" width="11.42578125" style="167" customWidth="1"/>
    <col min="5381" max="5381" width="11.5703125" style="167" customWidth="1"/>
    <col min="5382" max="5382" width="12" style="167" customWidth="1"/>
    <col min="5383" max="5383" width="11.85546875" style="167" customWidth="1"/>
    <col min="5384" max="5384" width="9.5703125" style="167" customWidth="1"/>
    <col min="5385" max="5385" width="10.28515625" style="167" customWidth="1"/>
    <col min="5386" max="5386" width="11.42578125" style="167" customWidth="1"/>
    <col min="5387" max="5387" width="10.85546875" style="167" customWidth="1"/>
    <col min="5388" max="5388" width="9.140625" style="167"/>
    <col min="5389" max="5390" width="9.28515625" style="167" bestFit="1" customWidth="1"/>
    <col min="5391" max="5632" width="9.140625" style="167"/>
    <col min="5633" max="5633" width="34.85546875" style="167" customWidth="1"/>
    <col min="5634" max="5634" width="10.7109375" style="167" customWidth="1"/>
    <col min="5635" max="5635" width="11.85546875" style="167" customWidth="1"/>
    <col min="5636" max="5636" width="11.42578125" style="167" customWidth="1"/>
    <col min="5637" max="5637" width="11.5703125" style="167" customWidth="1"/>
    <col min="5638" max="5638" width="12" style="167" customWidth="1"/>
    <col min="5639" max="5639" width="11.85546875" style="167" customWidth="1"/>
    <col min="5640" max="5640" width="9.5703125" style="167" customWidth="1"/>
    <col min="5641" max="5641" width="10.28515625" style="167" customWidth="1"/>
    <col min="5642" max="5642" width="11.42578125" style="167" customWidth="1"/>
    <col min="5643" max="5643" width="10.85546875" style="167" customWidth="1"/>
    <col min="5644" max="5644" width="9.140625" style="167"/>
    <col min="5645" max="5646" width="9.28515625" style="167" bestFit="1" customWidth="1"/>
    <col min="5647" max="5888" width="9.140625" style="167"/>
    <col min="5889" max="5889" width="34.85546875" style="167" customWidth="1"/>
    <col min="5890" max="5890" width="10.7109375" style="167" customWidth="1"/>
    <col min="5891" max="5891" width="11.85546875" style="167" customWidth="1"/>
    <col min="5892" max="5892" width="11.42578125" style="167" customWidth="1"/>
    <col min="5893" max="5893" width="11.5703125" style="167" customWidth="1"/>
    <col min="5894" max="5894" width="12" style="167" customWidth="1"/>
    <col min="5895" max="5895" width="11.85546875" style="167" customWidth="1"/>
    <col min="5896" max="5896" width="9.5703125" style="167" customWidth="1"/>
    <col min="5897" max="5897" width="10.28515625" style="167" customWidth="1"/>
    <col min="5898" max="5898" width="11.42578125" style="167" customWidth="1"/>
    <col min="5899" max="5899" width="10.85546875" style="167" customWidth="1"/>
    <col min="5900" max="5900" width="9.140625" style="167"/>
    <col min="5901" max="5902" width="9.28515625" style="167" bestFit="1" customWidth="1"/>
    <col min="5903" max="6144" width="9.140625" style="167"/>
    <col min="6145" max="6145" width="34.85546875" style="167" customWidth="1"/>
    <col min="6146" max="6146" width="10.7109375" style="167" customWidth="1"/>
    <col min="6147" max="6147" width="11.85546875" style="167" customWidth="1"/>
    <col min="6148" max="6148" width="11.42578125" style="167" customWidth="1"/>
    <col min="6149" max="6149" width="11.5703125" style="167" customWidth="1"/>
    <col min="6150" max="6150" width="12" style="167" customWidth="1"/>
    <col min="6151" max="6151" width="11.85546875" style="167" customWidth="1"/>
    <col min="6152" max="6152" width="9.5703125" style="167" customWidth="1"/>
    <col min="6153" max="6153" width="10.28515625" style="167" customWidth="1"/>
    <col min="6154" max="6154" width="11.42578125" style="167" customWidth="1"/>
    <col min="6155" max="6155" width="10.85546875" style="167" customWidth="1"/>
    <col min="6156" max="6156" width="9.140625" style="167"/>
    <col min="6157" max="6158" width="9.28515625" style="167" bestFit="1" customWidth="1"/>
    <col min="6159" max="6400" width="9.140625" style="167"/>
    <col min="6401" max="6401" width="34.85546875" style="167" customWidth="1"/>
    <col min="6402" max="6402" width="10.7109375" style="167" customWidth="1"/>
    <col min="6403" max="6403" width="11.85546875" style="167" customWidth="1"/>
    <col min="6404" max="6404" width="11.42578125" style="167" customWidth="1"/>
    <col min="6405" max="6405" width="11.5703125" style="167" customWidth="1"/>
    <col min="6406" max="6406" width="12" style="167" customWidth="1"/>
    <col min="6407" max="6407" width="11.85546875" style="167" customWidth="1"/>
    <col min="6408" max="6408" width="9.5703125" style="167" customWidth="1"/>
    <col min="6409" max="6409" width="10.28515625" style="167" customWidth="1"/>
    <col min="6410" max="6410" width="11.42578125" style="167" customWidth="1"/>
    <col min="6411" max="6411" width="10.85546875" style="167" customWidth="1"/>
    <col min="6412" max="6412" width="9.140625" style="167"/>
    <col min="6413" max="6414" width="9.28515625" style="167" bestFit="1" customWidth="1"/>
    <col min="6415" max="6656" width="9.140625" style="167"/>
    <col min="6657" max="6657" width="34.85546875" style="167" customWidth="1"/>
    <col min="6658" max="6658" width="10.7109375" style="167" customWidth="1"/>
    <col min="6659" max="6659" width="11.85546875" style="167" customWidth="1"/>
    <col min="6660" max="6660" width="11.42578125" style="167" customWidth="1"/>
    <col min="6661" max="6661" width="11.5703125" style="167" customWidth="1"/>
    <col min="6662" max="6662" width="12" style="167" customWidth="1"/>
    <col min="6663" max="6663" width="11.85546875" style="167" customWidth="1"/>
    <col min="6664" max="6664" width="9.5703125" style="167" customWidth="1"/>
    <col min="6665" max="6665" width="10.28515625" style="167" customWidth="1"/>
    <col min="6666" max="6666" width="11.42578125" style="167" customWidth="1"/>
    <col min="6667" max="6667" width="10.85546875" style="167" customWidth="1"/>
    <col min="6668" max="6668" width="9.140625" style="167"/>
    <col min="6669" max="6670" width="9.28515625" style="167" bestFit="1" customWidth="1"/>
    <col min="6671" max="6912" width="9.140625" style="167"/>
    <col min="6913" max="6913" width="34.85546875" style="167" customWidth="1"/>
    <col min="6914" max="6914" width="10.7109375" style="167" customWidth="1"/>
    <col min="6915" max="6915" width="11.85546875" style="167" customWidth="1"/>
    <col min="6916" max="6916" width="11.42578125" style="167" customWidth="1"/>
    <col min="6917" max="6917" width="11.5703125" style="167" customWidth="1"/>
    <col min="6918" max="6918" width="12" style="167" customWidth="1"/>
    <col min="6919" max="6919" width="11.85546875" style="167" customWidth="1"/>
    <col min="6920" max="6920" width="9.5703125" style="167" customWidth="1"/>
    <col min="6921" max="6921" width="10.28515625" style="167" customWidth="1"/>
    <col min="6922" max="6922" width="11.42578125" style="167" customWidth="1"/>
    <col min="6923" max="6923" width="10.85546875" style="167" customWidth="1"/>
    <col min="6924" max="6924" width="9.140625" style="167"/>
    <col min="6925" max="6926" width="9.28515625" style="167" bestFit="1" customWidth="1"/>
    <col min="6927" max="7168" width="9.140625" style="167"/>
    <col min="7169" max="7169" width="34.85546875" style="167" customWidth="1"/>
    <col min="7170" max="7170" width="10.7109375" style="167" customWidth="1"/>
    <col min="7171" max="7171" width="11.85546875" style="167" customWidth="1"/>
    <col min="7172" max="7172" width="11.42578125" style="167" customWidth="1"/>
    <col min="7173" max="7173" width="11.5703125" style="167" customWidth="1"/>
    <col min="7174" max="7174" width="12" style="167" customWidth="1"/>
    <col min="7175" max="7175" width="11.85546875" style="167" customWidth="1"/>
    <col min="7176" max="7176" width="9.5703125" style="167" customWidth="1"/>
    <col min="7177" max="7177" width="10.28515625" style="167" customWidth="1"/>
    <col min="7178" max="7178" width="11.42578125" style="167" customWidth="1"/>
    <col min="7179" max="7179" width="10.85546875" style="167" customWidth="1"/>
    <col min="7180" max="7180" width="9.140625" style="167"/>
    <col min="7181" max="7182" width="9.28515625" style="167" bestFit="1" customWidth="1"/>
    <col min="7183" max="7424" width="9.140625" style="167"/>
    <col min="7425" max="7425" width="34.85546875" style="167" customWidth="1"/>
    <col min="7426" max="7426" width="10.7109375" style="167" customWidth="1"/>
    <col min="7427" max="7427" width="11.85546875" style="167" customWidth="1"/>
    <col min="7428" max="7428" width="11.42578125" style="167" customWidth="1"/>
    <col min="7429" max="7429" width="11.5703125" style="167" customWidth="1"/>
    <col min="7430" max="7430" width="12" style="167" customWidth="1"/>
    <col min="7431" max="7431" width="11.85546875" style="167" customWidth="1"/>
    <col min="7432" max="7432" width="9.5703125" style="167" customWidth="1"/>
    <col min="7433" max="7433" width="10.28515625" style="167" customWidth="1"/>
    <col min="7434" max="7434" width="11.42578125" style="167" customWidth="1"/>
    <col min="7435" max="7435" width="10.85546875" style="167" customWidth="1"/>
    <col min="7436" max="7436" width="9.140625" style="167"/>
    <col min="7437" max="7438" width="9.28515625" style="167" bestFit="1" customWidth="1"/>
    <col min="7439" max="7680" width="9.140625" style="167"/>
    <col min="7681" max="7681" width="34.85546875" style="167" customWidth="1"/>
    <col min="7682" max="7682" width="10.7109375" style="167" customWidth="1"/>
    <col min="7683" max="7683" width="11.85546875" style="167" customWidth="1"/>
    <col min="7684" max="7684" width="11.42578125" style="167" customWidth="1"/>
    <col min="7685" max="7685" width="11.5703125" style="167" customWidth="1"/>
    <col min="7686" max="7686" width="12" style="167" customWidth="1"/>
    <col min="7687" max="7687" width="11.85546875" style="167" customWidth="1"/>
    <col min="7688" max="7688" width="9.5703125" style="167" customWidth="1"/>
    <col min="7689" max="7689" width="10.28515625" style="167" customWidth="1"/>
    <col min="7690" max="7690" width="11.42578125" style="167" customWidth="1"/>
    <col min="7691" max="7691" width="10.85546875" style="167" customWidth="1"/>
    <col min="7692" max="7692" width="9.140625" style="167"/>
    <col min="7693" max="7694" width="9.28515625" style="167" bestFit="1" customWidth="1"/>
    <col min="7695" max="7936" width="9.140625" style="167"/>
    <col min="7937" max="7937" width="34.85546875" style="167" customWidth="1"/>
    <col min="7938" max="7938" width="10.7109375" style="167" customWidth="1"/>
    <col min="7939" max="7939" width="11.85546875" style="167" customWidth="1"/>
    <col min="7940" max="7940" width="11.42578125" style="167" customWidth="1"/>
    <col min="7941" max="7941" width="11.5703125" style="167" customWidth="1"/>
    <col min="7942" max="7942" width="12" style="167" customWidth="1"/>
    <col min="7943" max="7943" width="11.85546875" style="167" customWidth="1"/>
    <col min="7944" max="7944" width="9.5703125" style="167" customWidth="1"/>
    <col min="7945" max="7945" width="10.28515625" style="167" customWidth="1"/>
    <col min="7946" max="7946" width="11.42578125" style="167" customWidth="1"/>
    <col min="7947" max="7947" width="10.85546875" style="167" customWidth="1"/>
    <col min="7948" max="7948" width="9.140625" style="167"/>
    <col min="7949" max="7950" width="9.28515625" style="167" bestFit="1" customWidth="1"/>
    <col min="7951" max="8192" width="9.140625" style="167"/>
    <col min="8193" max="8193" width="34.85546875" style="167" customWidth="1"/>
    <col min="8194" max="8194" width="10.7109375" style="167" customWidth="1"/>
    <col min="8195" max="8195" width="11.85546875" style="167" customWidth="1"/>
    <col min="8196" max="8196" width="11.42578125" style="167" customWidth="1"/>
    <col min="8197" max="8197" width="11.5703125" style="167" customWidth="1"/>
    <col min="8198" max="8198" width="12" style="167" customWidth="1"/>
    <col min="8199" max="8199" width="11.85546875" style="167" customWidth="1"/>
    <col min="8200" max="8200" width="9.5703125" style="167" customWidth="1"/>
    <col min="8201" max="8201" width="10.28515625" style="167" customWidth="1"/>
    <col min="8202" max="8202" width="11.42578125" style="167" customWidth="1"/>
    <col min="8203" max="8203" width="10.85546875" style="167" customWidth="1"/>
    <col min="8204" max="8204" width="9.140625" style="167"/>
    <col min="8205" max="8206" width="9.28515625" style="167" bestFit="1" customWidth="1"/>
    <col min="8207" max="8448" width="9.140625" style="167"/>
    <col min="8449" max="8449" width="34.85546875" style="167" customWidth="1"/>
    <col min="8450" max="8450" width="10.7109375" style="167" customWidth="1"/>
    <col min="8451" max="8451" width="11.85546875" style="167" customWidth="1"/>
    <col min="8452" max="8452" width="11.42578125" style="167" customWidth="1"/>
    <col min="8453" max="8453" width="11.5703125" style="167" customWidth="1"/>
    <col min="8454" max="8454" width="12" style="167" customWidth="1"/>
    <col min="8455" max="8455" width="11.85546875" style="167" customWidth="1"/>
    <col min="8456" max="8456" width="9.5703125" style="167" customWidth="1"/>
    <col min="8457" max="8457" width="10.28515625" style="167" customWidth="1"/>
    <col min="8458" max="8458" width="11.42578125" style="167" customWidth="1"/>
    <col min="8459" max="8459" width="10.85546875" style="167" customWidth="1"/>
    <col min="8460" max="8460" width="9.140625" style="167"/>
    <col min="8461" max="8462" width="9.28515625" style="167" bestFit="1" customWidth="1"/>
    <col min="8463" max="8704" width="9.140625" style="167"/>
    <col min="8705" max="8705" width="34.85546875" style="167" customWidth="1"/>
    <col min="8706" max="8706" width="10.7109375" style="167" customWidth="1"/>
    <col min="8707" max="8707" width="11.85546875" style="167" customWidth="1"/>
    <col min="8708" max="8708" width="11.42578125" style="167" customWidth="1"/>
    <col min="8709" max="8709" width="11.5703125" style="167" customWidth="1"/>
    <col min="8710" max="8710" width="12" style="167" customWidth="1"/>
    <col min="8711" max="8711" width="11.85546875" style="167" customWidth="1"/>
    <col min="8712" max="8712" width="9.5703125" style="167" customWidth="1"/>
    <col min="8713" max="8713" width="10.28515625" style="167" customWidth="1"/>
    <col min="8714" max="8714" width="11.42578125" style="167" customWidth="1"/>
    <col min="8715" max="8715" width="10.85546875" style="167" customWidth="1"/>
    <col min="8716" max="8716" width="9.140625" style="167"/>
    <col min="8717" max="8718" width="9.28515625" style="167" bestFit="1" customWidth="1"/>
    <col min="8719" max="8960" width="9.140625" style="167"/>
    <col min="8961" max="8961" width="34.85546875" style="167" customWidth="1"/>
    <col min="8962" max="8962" width="10.7109375" style="167" customWidth="1"/>
    <col min="8963" max="8963" width="11.85546875" style="167" customWidth="1"/>
    <col min="8964" max="8964" width="11.42578125" style="167" customWidth="1"/>
    <col min="8965" max="8965" width="11.5703125" style="167" customWidth="1"/>
    <col min="8966" max="8966" width="12" style="167" customWidth="1"/>
    <col min="8967" max="8967" width="11.85546875" style="167" customWidth="1"/>
    <col min="8968" max="8968" width="9.5703125" style="167" customWidth="1"/>
    <col min="8969" max="8969" width="10.28515625" style="167" customWidth="1"/>
    <col min="8970" max="8970" width="11.42578125" style="167" customWidth="1"/>
    <col min="8971" max="8971" width="10.85546875" style="167" customWidth="1"/>
    <col min="8972" max="8972" width="9.140625" style="167"/>
    <col min="8973" max="8974" width="9.28515625" style="167" bestFit="1" customWidth="1"/>
    <col min="8975" max="9216" width="9.140625" style="167"/>
    <col min="9217" max="9217" width="34.85546875" style="167" customWidth="1"/>
    <col min="9218" max="9218" width="10.7109375" style="167" customWidth="1"/>
    <col min="9219" max="9219" width="11.85546875" style="167" customWidth="1"/>
    <col min="9220" max="9220" width="11.42578125" style="167" customWidth="1"/>
    <col min="9221" max="9221" width="11.5703125" style="167" customWidth="1"/>
    <col min="9222" max="9222" width="12" style="167" customWidth="1"/>
    <col min="9223" max="9223" width="11.85546875" style="167" customWidth="1"/>
    <col min="9224" max="9224" width="9.5703125" style="167" customWidth="1"/>
    <col min="9225" max="9225" width="10.28515625" style="167" customWidth="1"/>
    <col min="9226" max="9226" width="11.42578125" style="167" customWidth="1"/>
    <col min="9227" max="9227" width="10.85546875" style="167" customWidth="1"/>
    <col min="9228" max="9228" width="9.140625" style="167"/>
    <col min="9229" max="9230" width="9.28515625" style="167" bestFit="1" customWidth="1"/>
    <col min="9231" max="9472" width="9.140625" style="167"/>
    <col min="9473" max="9473" width="34.85546875" style="167" customWidth="1"/>
    <col min="9474" max="9474" width="10.7109375" style="167" customWidth="1"/>
    <col min="9475" max="9475" width="11.85546875" style="167" customWidth="1"/>
    <col min="9476" max="9476" width="11.42578125" style="167" customWidth="1"/>
    <col min="9477" max="9477" width="11.5703125" style="167" customWidth="1"/>
    <col min="9478" max="9478" width="12" style="167" customWidth="1"/>
    <col min="9479" max="9479" width="11.85546875" style="167" customWidth="1"/>
    <col min="9480" max="9480" width="9.5703125" style="167" customWidth="1"/>
    <col min="9481" max="9481" width="10.28515625" style="167" customWidth="1"/>
    <col min="9482" max="9482" width="11.42578125" style="167" customWidth="1"/>
    <col min="9483" max="9483" width="10.85546875" style="167" customWidth="1"/>
    <col min="9484" max="9484" width="9.140625" style="167"/>
    <col min="9485" max="9486" width="9.28515625" style="167" bestFit="1" customWidth="1"/>
    <col min="9487" max="9728" width="9.140625" style="167"/>
    <col min="9729" max="9729" width="34.85546875" style="167" customWidth="1"/>
    <col min="9730" max="9730" width="10.7109375" style="167" customWidth="1"/>
    <col min="9731" max="9731" width="11.85546875" style="167" customWidth="1"/>
    <col min="9732" max="9732" width="11.42578125" style="167" customWidth="1"/>
    <col min="9733" max="9733" width="11.5703125" style="167" customWidth="1"/>
    <col min="9734" max="9734" width="12" style="167" customWidth="1"/>
    <col min="9735" max="9735" width="11.85546875" style="167" customWidth="1"/>
    <col min="9736" max="9736" width="9.5703125" style="167" customWidth="1"/>
    <col min="9737" max="9737" width="10.28515625" style="167" customWidth="1"/>
    <col min="9738" max="9738" width="11.42578125" style="167" customWidth="1"/>
    <col min="9739" max="9739" width="10.85546875" style="167" customWidth="1"/>
    <col min="9740" max="9740" width="9.140625" style="167"/>
    <col min="9741" max="9742" width="9.28515625" style="167" bestFit="1" customWidth="1"/>
    <col min="9743" max="9984" width="9.140625" style="167"/>
    <col min="9985" max="9985" width="34.85546875" style="167" customWidth="1"/>
    <col min="9986" max="9986" width="10.7109375" style="167" customWidth="1"/>
    <col min="9987" max="9987" width="11.85546875" style="167" customWidth="1"/>
    <col min="9988" max="9988" width="11.42578125" style="167" customWidth="1"/>
    <col min="9989" max="9989" width="11.5703125" style="167" customWidth="1"/>
    <col min="9990" max="9990" width="12" style="167" customWidth="1"/>
    <col min="9991" max="9991" width="11.85546875" style="167" customWidth="1"/>
    <col min="9992" max="9992" width="9.5703125" style="167" customWidth="1"/>
    <col min="9993" max="9993" width="10.28515625" style="167" customWidth="1"/>
    <col min="9994" max="9994" width="11.42578125" style="167" customWidth="1"/>
    <col min="9995" max="9995" width="10.85546875" style="167" customWidth="1"/>
    <col min="9996" max="9996" width="9.140625" style="167"/>
    <col min="9997" max="9998" width="9.28515625" style="167" bestFit="1" customWidth="1"/>
    <col min="9999" max="10240" width="9.140625" style="167"/>
    <col min="10241" max="10241" width="34.85546875" style="167" customWidth="1"/>
    <col min="10242" max="10242" width="10.7109375" style="167" customWidth="1"/>
    <col min="10243" max="10243" width="11.85546875" style="167" customWidth="1"/>
    <col min="10244" max="10244" width="11.42578125" style="167" customWidth="1"/>
    <col min="10245" max="10245" width="11.5703125" style="167" customWidth="1"/>
    <col min="10246" max="10246" width="12" style="167" customWidth="1"/>
    <col min="10247" max="10247" width="11.85546875" style="167" customWidth="1"/>
    <col min="10248" max="10248" width="9.5703125" style="167" customWidth="1"/>
    <col min="10249" max="10249" width="10.28515625" style="167" customWidth="1"/>
    <col min="10250" max="10250" width="11.42578125" style="167" customWidth="1"/>
    <col min="10251" max="10251" width="10.85546875" style="167" customWidth="1"/>
    <col min="10252" max="10252" width="9.140625" style="167"/>
    <col min="10253" max="10254" width="9.28515625" style="167" bestFit="1" customWidth="1"/>
    <col min="10255" max="10496" width="9.140625" style="167"/>
    <col min="10497" max="10497" width="34.85546875" style="167" customWidth="1"/>
    <col min="10498" max="10498" width="10.7109375" style="167" customWidth="1"/>
    <col min="10499" max="10499" width="11.85546875" style="167" customWidth="1"/>
    <col min="10500" max="10500" width="11.42578125" style="167" customWidth="1"/>
    <col min="10501" max="10501" width="11.5703125" style="167" customWidth="1"/>
    <col min="10502" max="10502" width="12" style="167" customWidth="1"/>
    <col min="10503" max="10503" width="11.85546875" style="167" customWidth="1"/>
    <col min="10504" max="10504" width="9.5703125" style="167" customWidth="1"/>
    <col min="10505" max="10505" width="10.28515625" style="167" customWidth="1"/>
    <col min="10506" max="10506" width="11.42578125" style="167" customWidth="1"/>
    <col min="10507" max="10507" width="10.85546875" style="167" customWidth="1"/>
    <col min="10508" max="10508" width="9.140625" style="167"/>
    <col min="10509" max="10510" width="9.28515625" style="167" bestFit="1" customWidth="1"/>
    <col min="10511" max="10752" width="9.140625" style="167"/>
    <col min="10753" max="10753" width="34.85546875" style="167" customWidth="1"/>
    <col min="10754" max="10754" width="10.7109375" style="167" customWidth="1"/>
    <col min="10755" max="10755" width="11.85546875" style="167" customWidth="1"/>
    <col min="10756" max="10756" width="11.42578125" style="167" customWidth="1"/>
    <col min="10757" max="10757" width="11.5703125" style="167" customWidth="1"/>
    <col min="10758" max="10758" width="12" style="167" customWidth="1"/>
    <col min="10759" max="10759" width="11.85546875" style="167" customWidth="1"/>
    <col min="10760" max="10760" width="9.5703125" style="167" customWidth="1"/>
    <col min="10761" max="10761" width="10.28515625" style="167" customWidth="1"/>
    <col min="10762" max="10762" width="11.42578125" style="167" customWidth="1"/>
    <col min="10763" max="10763" width="10.85546875" style="167" customWidth="1"/>
    <col min="10764" max="10764" width="9.140625" style="167"/>
    <col min="10765" max="10766" width="9.28515625" style="167" bestFit="1" customWidth="1"/>
    <col min="10767" max="11008" width="9.140625" style="167"/>
    <col min="11009" max="11009" width="34.85546875" style="167" customWidth="1"/>
    <col min="11010" max="11010" width="10.7109375" style="167" customWidth="1"/>
    <col min="11011" max="11011" width="11.85546875" style="167" customWidth="1"/>
    <col min="11012" max="11012" width="11.42578125" style="167" customWidth="1"/>
    <col min="11013" max="11013" width="11.5703125" style="167" customWidth="1"/>
    <col min="11014" max="11014" width="12" style="167" customWidth="1"/>
    <col min="11015" max="11015" width="11.85546875" style="167" customWidth="1"/>
    <col min="11016" max="11016" width="9.5703125" style="167" customWidth="1"/>
    <col min="11017" max="11017" width="10.28515625" style="167" customWidth="1"/>
    <col min="11018" max="11018" width="11.42578125" style="167" customWidth="1"/>
    <col min="11019" max="11019" width="10.85546875" style="167" customWidth="1"/>
    <col min="11020" max="11020" width="9.140625" style="167"/>
    <col min="11021" max="11022" width="9.28515625" style="167" bestFit="1" customWidth="1"/>
    <col min="11023" max="11264" width="9.140625" style="167"/>
    <col min="11265" max="11265" width="34.85546875" style="167" customWidth="1"/>
    <col min="11266" max="11266" width="10.7109375" style="167" customWidth="1"/>
    <col min="11267" max="11267" width="11.85546875" style="167" customWidth="1"/>
    <col min="11268" max="11268" width="11.42578125" style="167" customWidth="1"/>
    <col min="11269" max="11269" width="11.5703125" style="167" customWidth="1"/>
    <col min="11270" max="11270" width="12" style="167" customWidth="1"/>
    <col min="11271" max="11271" width="11.85546875" style="167" customWidth="1"/>
    <col min="11272" max="11272" width="9.5703125" style="167" customWidth="1"/>
    <col min="11273" max="11273" width="10.28515625" style="167" customWidth="1"/>
    <col min="11274" max="11274" width="11.42578125" style="167" customWidth="1"/>
    <col min="11275" max="11275" width="10.85546875" style="167" customWidth="1"/>
    <col min="11276" max="11276" width="9.140625" style="167"/>
    <col min="11277" max="11278" width="9.28515625" style="167" bestFit="1" customWidth="1"/>
    <col min="11279" max="11520" width="9.140625" style="167"/>
    <col min="11521" max="11521" width="34.85546875" style="167" customWidth="1"/>
    <col min="11522" max="11522" width="10.7109375" style="167" customWidth="1"/>
    <col min="11523" max="11523" width="11.85546875" style="167" customWidth="1"/>
    <col min="11524" max="11524" width="11.42578125" style="167" customWidth="1"/>
    <col min="11525" max="11525" width="11.5703125" style="167" customWidth="1"/>
    <col min="11526" max="11526" width="12" style="167" customWidth="1"/>
    <col min="11527" max="11527" width="11.85546875" style="167" customWidth="1"/>
    <col min="11528" max="11528" width="9.5703125" style="167" customWidth="1"/>
    <col min="11529" max="11529" width="10.28515625" style="167" customWidth="1"/>
    <col min="11530" max="11530" width="11.42578125" style="167" customWidth="1"/>
    <col min="11531" max="11531" width="10.85546875" style="167" customWidth="1"/>
    <col min="11532" max="11532" width="9.140625" style="167"/>
    <col min="11533" max="11534" width="9.28515625" style="167" bestFit="1" customWidth="1"/>
    <col min="11535" max="11776" width="9.140625" style="167"/>
    <col min="11777" max="11777" width="34.85546875" style="167" customWidth="1"/>
    <col min="11778" max="11778" width="10.7109375" style="167" customWidth="1"/>
    <col min="11779" max="11779" width="11.85546875" style="167" customWidth="1"/>
    <col min="11780" max="11780" width="11.42578125" style="167" customWidth="1"/>
    <col min="11781" max="11781" width="11.5703125" style="167" customWidth="1"/>
    <col min="11782" max="11782" width="12" style="167" customWidth="1"/>
    <col min="11783" max="11783" width="11.85546875" style="167" customWidth="1"/>
    <col min="11784" max="11784" width="9.5703125" style="167" customWidth="1"/>
    <col min="11785" max="11785" width="10.28515625" style="167" customWidth="1"/>
    <col min="11786" max="11786" width="11.42578125" style="167" customWidth="1"/>
    <col min="11787" max="11787" width="10.85546875" style="167" customWidth="1"/>
    <col min="11788" max="11788" width="9.140625" style="167"/>
    <col min="11789" max="11790" width="9.28515625" style="167" bestFit="1" customWidth="1"/>
    <col min="11791" max="12032" width="9.140625" style="167"/>
    <col min="12033" max="12033" width="34.85546875" style="167" customWidth="1"/>
    <col min="12034" max="12034" width="10.7109375" style="167" customWidth="1"/>
    <col min="12035" max="12035" width="11.85546875" style="167" customWidth="1"/>
    <col min="12036" max="12036" width="11.42578125" style="167" customWidth="1"/>
    <col min="12037" max="12037" width="11.5703125" style="167" customWidth="1"/>
    <col min="12038" max="12038" width="12" style="167" customWidth="1"/>
    <col min="12039" max="12039" width="11.85546875" style="167" customWidth="1"/>
    <col min="12040" max="12040" width="9.5703125" style="167" customWidth="1"/>
    <col min="12041" max="12041" width="10.28515625" style="167" customWidth="1"/>
    <col min="12042" max="12042" width="11.42578125" style="167" customWidth="1"/>
    <col min="12043" max="12043" width="10.85546875" style="167" customWidth="1"/>
    <col min="12044" max="12044" width="9.140625" style="167"/>
    <col min="12045" max="12046" width="9.28515625" style="167" bestFit="1" customWidth="1"/>
    <col min="12047" max="12288" width="9.140625" style="167"/>
    <col min="12289" max="12289" width="34.85546875" style="167" customWidth="1"/>
    <col min="12290" max="12290" width="10.7109375" style="167" customWidth="1"/>
    <col min="12291" max="12291" width="11.85546875" style="167" customWidth="1"/>
    <col min="12292" max="12292" width="11.42578125" style="167" customWidth="1"/>
    <col min="12293" max="12293" width="11.5703125" style="167" customWidth="1"/>
    <col min="12294" max="12294" width="12" style="167" customWidth="1"/>
    <col min="12295" max="12295" width="11.85546875" style="167" customWidth="1"/>
    <col min="12296" max="12296" width="9.5703125" style="167" customWidth="1"/>
    <col min="12297" max="12297" width="10.28515625" style="167" customWidth="1"/>
    <col min="12298" max="12298" width="11.42578125" style="167" customWidth="1"/>
    <col min="12299" max="12299" width="10.85546875" style="167" customWidth="1"/>
    <col min="12300" max="12300" width="9.140625" style="167"/>
    <col min="12301" max="12302" width="9.28515625" style="167" bestFit="1" customWidth="1"/>
    <col min="12303" max="12544" width="9.140625" style="167"/>
    <col min="12545" max="12545" width="34.85546875" style="167" customWidth="1"/>
    <col min="12546" max="12546" width="10.7109375" style="167" customWidth="1"/>
    <col min="12547" max="12547" width="11.85546875" style="167" customWidth="1"/>
    <col min="12548" max="12548" width="11.42578125" style="167" customWidth="1"/>
    <col min="12549" max="12549" width="11.5703125" style="167" customWidth="1"/>
    <col min="12550" max="12550" width="12" style="167" customWidth="1"/>
    <col min="12551" max="12551" width="11.85546875" style="167" customWidth="1"/>
    <col min="12552" max="12552" width="9.5703125" style="167" customWidth="1"/>
    <col min="12553" max="12553" width="10.28515625" style="167" customWidth="1"/>
    <col min="12554" max="12554" width="11.42578125" style="167" customWidth="1"/>
    <col min="12555" max="12555" width="10.85546875" style="167" customWidth="1"/>
    <col min="12556" max="12556" width="9.140625" style="167"/>
    <col min="12557" max="12558" width="9.28515625" style="167" bestFit="1" customWidth="1"/>
    <col min="12559" max="12800" width="9.140625" style="167"/>
    <col min="12801" max="12801" width="34.85546875" style="167" customWidth="1"/>
    <col min="12802" max="12802" width="10.7109375" style="167" customWidth="1"/>
    <col min="12803" max="12803" width="11.85546875" style="167" customWidth="1"/>
    <col min="12804" max="12804" width="11.42578125" style="167" customWidth="1"/>
    <col min="12805" max="12805" width="11.5703125" style="167" customWidth="1"/>
    <col min="12806" max="12806" width="12" style="167" customWidth="1"/>
    <col min="12807" max="12807" width="11.85546875" style="167" customWidth="1"/>
    <col min="12808" max="12808" width="9.5703125" style="167" customWidth="1"/>
    <col min="12809" max="12809" width="10.28515625" style="167" customWidth="1"/>
    <col min="12810" max="12810" width="11.42578125" style="167" customWidth="1"/>
    <col min="12811" max="12811" width="10.85546875" style="167" customWidth="1"/>
    <col min="12812" max="12812" width="9.140625" style="167"/>
    <col min="12813" max="12814" width="9.28515625" style="167" bestFit="1" customWidth="1"/>
    <col min="12815" max="13056" width="9.140625" style="167"/>
    <col min="13057" max="13057" width="34.85546875" style="167" customWidth="1"/>
    <col min="13058" max="13058" width="10.7109375" style="167" customWidth="1"/>
    <col min="13059" max="13059" width="11.85546875" style="167" customWidth="1"/>
    <col min="13060" max="13060" width="11.42578125" style="167" customWidth="1"/>
    <col min="13061" max="13061" width="11.5703125" style="167" customWidth="1"/>
    <col min="13062" max="13062" width="12" style="167" customWidth="1"/>
    <col min="13063" max="13063" width="11.85546875" style="167" customWidth="1"/>
    <col min="13064" max="13064" width="9.5703125" style="167" customWidth="1"/>
    <col min="13065" max="13065" width="10.28515625" style="167" customWidth="1"/>
    <col min="13066" max="13066" width="11.42578125" style="167" customWidth="1"/>
    <col min="13067" max="13067" width="10.85546875" style="167" customWidth="1"/>
    <col min="13068" max="13068" width="9.140625" style="167"/>
    <col min="13069" max="13070" width="9.28515625" style="167" bestFit="1" customWidth="1"/>
    <col min="13071" max="13312" width="9.140625" style="167"/>
    <col min="13313" max="13313" width="34.85546875" style="167" customWidth="1"/>
    <col min="13314" max="13314" width="10.7109375" style="167" customWidth="1"/>
    <col min="13315" max="13315" width="11.85546875" style="167" customWidth="1"/>
    <col min="13316" max="13316" width="11.42578125" style="167" customWidth="1"/>
    <col min="13317" max="13317" width="11.5703125" style="167" customWidth="1"/>
    <col min="13318" max="13318" width="12" style="167" customWidth="1"/>
    <col min="13319" max="13319" width="11.85546875" style="167" customWidth="1"/>
    <col min="13320" max="13320" width="9.5703125" style="167" customWidth="1"/>
    <col min="13321" max="13321" width="10.28515625" style="167" customWidth="1"/>
    <col min="13322" max="13322" width="11.42578125" style="167" customWidth="1"/>
    <col min="13323" max="13323" width="10.85546875" style="167" customWidth="1"/>
    <col min="13324" max="13324" width="9.140625" style="167"/>
    <col min="13325" max="13326" width="9.28515625" style="167" bestFit="1" customWidth="1"/>
    <col min="13327" max="13568" width="9.140625" style="167"/>
    <col min="13569" max="13569" width="34.85546875" style="167" customWidth="1"/>
    <col min="13570" max="13570" width="10.7109375" style="167" customWidth="1"/>
    <col min="13571" max="13571" width="11.85546875" style="167" customWidth="1"/>
    <col min="13572" max="13572" width="11.42578125" style="167" customWidth="1"/>
    <col min="13573" max="13573" width="11.5703125" style="167" customWidth="1"/>
    <col min="13574" max="13574" width="12" style="167" customWidth="1"/>
    <col min="13575" max="13575" width="11.85546875" style="167" customWidth="1"/>
    <col min="13576" max="13576" width="9.5703125" style="167" customWidth="1"/>
    <col min="13577" max="13577" width="10.28515625" style="167" customWidth="1"/>
    <col min="13578" max="13578" width="11.42578125" style="167" customWidth="1"/>
    <col min="13579" max="13579" width="10.85546875" style="167" customWidth="1"/>
    <col min="13580" max="13580" width="9.140625" style="167"/>
    <col min="13581" max="13582" width="9.28515625" style="167" bestFit="1" customWidth="1"/>
    <col min="13583" max="13824" width="9.140625" style="167"/>
    <col min="13825" max="13825" width="34.85546875" style="167" customWidth="1"/>
    <col min="13826" max="13826" width="10.7109375" style="167" customWidth="1"/>
    <col min="13827" max="13827" width="11.85546875" style="167" customWidth="1"/>
    <col min="13828" max="13828" width="11.42578125" style="167" customWidth="1"/>
    <col min="13829" max="13829" width="11.5703125" style="167" customWidth="1"/>
    <col min="13830" max="13830" width="12" style="167" customWidth="1"/>
    <col min="13831" max="13831" width="11.85546875" style="167" customWidth="1"/>
    <col min="13832" max="13832" width="9.5703125" style="167" customWidth="1"/>
    <col min="13833" max="13833" width="10.28515625" style="167" customWidth="1"/>
    <col min="13834" max="13834" width="11.42578125" style="167" customWidth="1"/>
    <col min="13835" max="13835" width="10.85546875" style="167" customWidth="1"/>
    <col min="13836" max="13836" width="9.140625" style="167"/>
    <col min="13837" max="13838" width="9.28515625" style="167" bestFit="1" customWidth="1"/>
    <col min="13839" max="14080" width="9.140625" style="167"/>
    <col min="14081" max="14081" width="34.85546875" style="167" customWidth="1"/>
    <col min="14082" max="14082" width="10.7109375" style="167" customWidth="1"/>
    <col min="14083" max="14083" width="11.85546875" style="167" customWidth="1"/>
    <col min="14084" max="14084" width="11.42578125" style="167" customWidth="1"/>
    <col min="14085" max="14085" width="11.5703125" style="167" customWidth="1"/>
    <col min="14086" max="14086" width="12" style="167" customWidth="1"/>
    <col min="14087" max="14087" width="11.85546875" style="167" customWidth="1"/>
    <col min="14088" max="14088" width="9.5703125" style="167" customWidth="1"/>
    <col min="14089" max="14089" width="10.28515625" style="167" customWidth="1"/>
    <col min="14090" max="14090" width="11.42578125" style="167" customWidth="1"/>
    <col min="14091" max="14091" width="10.85546875" style="167" customWidth="1"/>
    <col min="14092" max="14092" width="9.140625" style="167"/>
    <col min="14093" max="14094" width="9.28515625" style="167" bestFit="1" customWidth="1"/>
    <col min="14095" max="14336" width="9.140625" style="167"/>
    <col min="14337" max="14337" width="34.85546875" style="167" customWidth="1"/>
    <col min="14338" max="14338" width="10.7109375" style="167" customWidth="1"/>
    <col min="14339" max="14339" width="11.85546875" style="167" customWidth="1"/>
    <col min="14340" max="14340" width="11.42578125" style="167" customWidth="1"/>
    <col min="14341" max="14341" width="11.5703125" style="167" customWidth="1"/>
    <col min="14342" max="14342" width="12" style="167" customWidth="1"/>
    <col min="14343" max="14343" width="11.85546875" style="167" customWidth="1"/>
    <col min="14344" max="14344" width="9.5703125" style="167" customWidth="1"/>
    <col min="14345" max="14345" width="10.28515625" style="167" customWidth="1"/>
    <col min="14346" max="14346" width="11.42578125" style="167" customWidth="1"/>
    <col min="14347" max="14347" width="10.85546875" style="167" customWidth="1"/>
    <col min="14348" max="14348" width="9.140625" style="167"/>
    <col min="14349" max="14350" width="9.28515625" style="167" bestFit="1" customWidth="1"/>
    <col min="14351" max="14592" width="9.140625" style="167"/>
    <col min="14593" max="14593" width="34.85546875" style="167" customWidth="1"/>
    <col min="14594" max="14594" width="10.7109375" style="167" customWidth="1"/>
    <col min="14595" max="14595" width="11.85546875" style="167" customWidth="1"/>
    <col min="14596" max="14596" width="11.42578125" style="167" customWidth="1"/>
    <col min="14597" max="14597" width="11.5703125" style="167" customWidth="1"/>
    <col min="14598" max="14598" width="12" style="167" customWidth="1"/>
    <col min="14599" max="14599" width="11.85546875" style="167" customWidth="1"/>
    <col min="14600" max="14600" width="9.5703125" style="167" customWidth="1"/>
    <col min="14601" max="14601" width="10.28515625" style="167" customWidth="1"/>
    <col min="14602" max="14602" width="11.42578125" style="167" customWidth="1"/>
    <col min="14603" max="14603" width="10.85546875" style="167" customWidth="1"/>
    <col min="14604" max="14604" width="9.140625" style="167"/>
    <col min="14605" max="14606" width="9.28515625" style="167" bestFit="1" customWidth="1"/>
    <col min="14607" max="14848" width="9.140625" style="167"/>
    <col min="14849" max="14849" width="34.85546875" style="167" customWidth="1"/>
    <col min="14850" max="14850" width="10.7109375" style="167" customWidth="1"/>
    <col min="14851" max="14851" width="11.85546875" style="167" customWidth="1"/>
    <col min="14852" max="14852" width="11.42578125" style="167" customWidth="1"/>
    <col min="14853" max="14853" width="11.5703125" style="167" customWidth="1"/>
    <col min="14854" max="14854" width="12" style="167" customWidth="1"/>
    <col min="14855" max="14855" width="11.85546875" style="167" customWidth="1"/>
    <col min="14856" max="14856" width="9.5703125" style="167" customWidth="1"/>
    <col min="14857" max="14857" width="10.28515625" style="167" customWidth="1"/>
    <col min="14858" max="14858" width="11.42578125" style="167" customWidth="1"/>
    <col min="14859" max="14859" width="10.85546875" style="167" customWidth="1"/>
    <col min="14860" max="14860" width="9.140625" style="167"/>
    <col min="14861" max="14862" width="9.28515625" style="167" bestFit="1" customWidth="1"/>
    <col min="14863" max="15104" width="9.140625" style="167"/>
    <col min="15105" max="15105" width="34.85546875" style="167" customWidth="1"/>
    <col min="15106" max="15106" width="10.7109375" style="167" customWidth="1"/>
    <col min="15107" max="15107" width="11.85546875" style="167" customWidth="1"/>
    <col min="15108" max="15108" width="11.42578125" style="167" customWidth="1"/>
    <col min="15109" max="15109" width="11.5703125" style="167" customWidth="1"/>
    <col min="15110" max="15110" width="12" style="167" customWidth="1"/>
    <col min="15111" max="15111" width="11.85546875" style="167" customWidth="1"/>
    <col min="15112" max="15112" width="9.5703125" style="167" customWidth="1"/>
    <col min="15113" max="15113" width="10.28515625" style="167" customWidth="1"/>
    <col min="15114" max="15114" width="11.42578125" style="167" customWidth="1"/>
    <col min="15115" max="15115" width="10.85546875" style="167" customWidth="1"/>
    <col min="15116" max="15116" width="9.140625" style="167"/>
    <col min="15117" max="15118" width="9.28515625" style="167" bestFit="1" customWidth="1"/>
    <col min="15119" max="15360" width="9.140625" style="167"/>
    <col min="15361" max="15361" width="34.85546875" style="167" customWidth="1"/>
    <col min="15362" max="15362" width="10.7109375" style="167" customWidth="1"/>
    <col min="15363" max="15363" width="11.85546875" style="167" customWidth="1"/>
    <col min="15364" max="15364" width="11.42578125" style="167" customWidth="1"/>
    <col min="15365" max="15365" width="11.5703125" style="167" customWidth="1"/>
    <col min="15366" max="15366" width="12" style="167" customWidth="1"/>
    <col min="15367" max="15367" width="11.85546875" style="167" customWidth="1"/>
    <col min="15368" max="15368" width="9.5703125" style="167" customWidth="1"/>
    <col min="15369" max="15369" width="10.28515625" style="167" customWidth="1"/>
    <col min="15370" max="15370" width="11.42578125" style="167" customWidth="1"/>
    <col min="15371" max="15371" width="10.85546875" style="167" customWidth="1"/>
    <col min="15372" max="15372" width="9.140625" style="167"/>
    <col min="15373" max="15374" width="9.28515625" style="167" bestFit="1" customWidth="1"/>
    <col min="15375" max="15616" width="9.140625" style="167"/>
    <col min="15617" max="15617" width="34.85546875" style="167" customWidth="1"/>
    <col min="15618" max="15618" width="10.7109375" style="167" customWidth="1"/>
    <col min="15619" max="15619" width="11.85546875" style="167" customWidth="1"/>
    <col min="15620" max="15620" width="11.42578125" style="167" customWidth="1"/>
    <col min="15621" max="15621" width="11.5703125" style="167" customWidth="1"/>
    <col min="15622" max="15622" width="12" style="167" customWidth="1"/>
    <col min="15623" max="15623" width="11.85546875" style="167" customWidth="1"/>
    <col min="15624" max="15624" width="9.5703125" style="167" customWidth="1"/>
    <col min="15625" max="15625" width="10.28515625" style="167" customWidth="1"/>
    <col min="15626" max="15626" width="11.42578125" style="167" customWidth="1"/>
    <col min="15627" max="15627" width="10.85546875" style="167" customWidth="1"/>
    <col min="15628" max="15628" width="9.140625" style="167"/>
    <col min="15629" max="15630" width="9.28515625" style="167" bestFit="1" customWidth="1"/>
    <col min="15631" max="15872" width="9.140625" style="167"/>
    <col min="15873" max="15873" width="34.85546875" style="167" customWidth="1"/>
    <col min="15874" max="15874" width="10.7109375" style="167" customWidth="1"/>
    <col min="15875" max="15875" width="11.85546875" style="167" customWidth="1"/>
    <col min="15876" max="15876" width="11.42578125" style="167" customWidth="1"/>
    <col min="15877" max="15877" width="11.5703125" style="167" customWidth="1"/>
    <col min="15878" max="15878" width="12" style="167" customWidth="1"/>
    <col min="15879" max="15879" width="11.85546875" style="167" customWidth="1"/>
    <col min="15880" max="15880" width="9.5703125" style="167" customWidth="1"/>
    <col min="15881" max="15881" width="10.28515625" style="167" customWidth="1"/>
    <col min="15882" max="15882" width="11.42578125" style="167" customWidth="1"/>
    <col min="15883" max="15883" width="10.85546875" style="167" customWidth="1"/>
    <col min="15884" max="15884" width="9.140625" style="167"/>
    <col min="15885" max="15886" width="9.28515625" style="167" bestFit="1" customWidth="1"/>
    <col min="15887" max="16128" width="9.140625" style="167"/>
    <col min="16129" max="16129" width="34.85546875" style="167" customWidth="1"/>
    <col min="16130" max="16130" width="10.7109375" style="167" customWidth="1"/>
    <col min="16131" max="16131" width="11.85546875" style="167" customWidth="1"/>
    <col min="16132" max="16132" width="11.42578125" style="167" customWidth="1"/>
    <col min="16133" max="16133" width="11.5703125" style="167" customWidth="1"/>
    <col min="16134" max="16134" width="12" style="167" customWidth="1"/>
    <col min="16135" max="16135" width="11.85546875" style="167" customWidth="1"/>
    <col min="16136" max="16136" width="9.5703125" style="167" customWidth="1"/>
    <col min="16137" max="16137" width="10.28515625" style="167" customWidth="1"/>
    <col min="16138" max="16138" width="11.42578125" style="167" customWidth="1"/>
    <col min="16139" max="16139" width="10.85546875" style="167" customWidth="1"/>
    <col min="16140" max="16140" width="9.140625" style="167"/>
    <col min="16141" max="16142" width="9.28515625" style="167" bestFit="1" customWidth="1"/>
    <col min="16143" max="16384" width="9.140625" style="167"/>
  </cols>
  <sheetData>
    <row r="1" spans="1:15" ht="25.5" customHeight="1" x14ac:dyDescent="0.3">
      <c r="A1" s="282" t="s">
        <v>190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5" ht="23.25" customHeight="1" x14ac:dyDescent="0.3">
      <c r="A2" s="283" t="s">
        <v>189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5" ht="21" customHeight="1" thickBot="1" x14ac:dyDescent="0.3">
      <c r="A3" s="280" t="str">
        <f>+'Biểu 01'!A3:J3</f>
        <v>(Kèm theo Báo cáo số:           /BC-UBND ngày          tháng 5 năm 2019 của UBND huyện Nam Đông)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5" ht="21.75" customHeight="1" thickTop="1" x14ac:dyDescent="0.2">
      <c r="A4" s="284" t="s">
        <v>88</v>
      </c>
      <c r="B4" s="286" t="s">
        <v>89</v>
      </c>
      <c r="C4" s="288" t="s">
        <v>90</v>
      </c>
      <c r="D4" s="288" t="s">
        <v>3</v>
      </c>
      <c r="E4" s="290" t="s">
        <v>91</v>
      </c>
      <c r="F4" s="291"/>
      <c r="G4" s="288" t="s">
        <v>4</v>
      </c>
      <c r="H4" s="290" t="s">
        <v>5</v>
      </c>
      <c r="I4" s="292"/>
      <c r="J4" s="291"/>
      <c r="K4" s="293" t="s">
        <v>92</v>
      </c>
    </row>
    <row r="5" spans="1:15" ht="45.75" customHeight="1" x14ac:dyDescent="0.2">
      <c r="A5" s="285"/>
      <c r="B5" s="287"/>
      <c r="C5" s="289"/>
      <c r="D5" s="289"/>
      <c r="E5" s="256" t="s">
        <v>93</v>
      </c>
      <c r="F5" s="256" t="s">
        <v>7</v>
      </c>
      <c r="G5" s="289"/>
      <c r="H5" s="257" t="s">
        <v>8</v>
      </c>
      <c r="I5" s="257" t="s">
        <v>94</v>
      </c>
      <c r="J5" s="257" t="s">
        <v>95</v>
      </c>
      <c r="K5" s="294"/>
    </row>
    <row r="6" spans="1:15" ht="20.100000000000001" customHeight="1" x14ac:dyDescent="0.2">
      <c r="A6" s="295" t="s">
        <v>96</v>
      </c>
      <c r="B6" s="296"/>
      <c r="C6" s="296"/>
      <c r="D6" s="296"/>
      <c r="E6" s="297"/>
      <c r="F6" s="298"/>
      <c r="G6" s="297"/>
      <c r="H6" s="299"/>
      <c r="I6" s="299"/>
      <c r="J6" s="299"/>
      <c r="K6" s="300"/>
      <c r="M6" s="168"/>
    </row>
    <row r="7" spans="1:15" ht="20.100000000000001" customHeight="1" x14ac:dyDescent="0.2">
      <c r="A7" s="295" t="s">
        <v>97</v>
      </c>
      <c r="B7" s="296"/>
      <c r="C7" s="296"/>
      <c r="D7" s="296"/>
      <c r="E7" s="297"/>
      <c r="F7" s="298"/>
      <c r="G7" s="297"/>
      <c r="H7" s="299"/>
      <c r="I7" s="299"/>
      <c r="J7" s="299"/>
      <c r="K7" s="300"/>
    </row>
    <row r="8" spans="1:15" ht="20.100000000000001" customHeight="1" x14ac:dyDescent="0.2">
      <c r="A8" s="295" t="s">
        <v>98</v>
      </c>
      <c r="B8" s="301"/>
      <c r="C8" s="301"/>
      <c r="D8" s="301"/>
      <c r="E8" s="302"/>
      <c r="F8" s="303"/>
      <c r="G8" s="303"/>
      <c r="H8" s="304"/>
      <c r="I8" s="304"/>
      <c r="J8" s="304"/>
      <c r="K8" s="300"/>
      <c r="N8" s="169"/>
    </row>
    <row r="9" spans="1:15" ht="20.100000000000001" customHeight="1" x14ac:dyDescent="0.2">
      <c r="A9" s="305" t="s">
        <v>99</v>
      </c>
      <c r="B9" s="306" t="s">
        <v>100</v>
      </c>
      <c r="C9" s="170">
        <f>C10+C11</f>
        <v>4549</v>
      </c>
      <c r="D9" s="170">
        <f>D10+D11</f>
        <v>2628</v>
      </c>
      <c r="E9" s="171">
        <v>4500</v>
      </c>
      <c r="F9" s="170">
        <f>F10+F11</f>
        <v>2694</v>
      </c>
      <c r="G9" s="170">
        <f>G10+G11</f>
        <v>4500</v>
      </c>
      <c r="H9" s="172">
        <f t="shared" ref="H9:H14" si="0">F9/D9*100</f>
        <v>102.51141552511416</v>
      </c>
      <c r="I9" s="173">
        <f t="shared" ref="I9:I14" si="1">F9/E9*100</f>
        <v>59.866666666666667</v>
      </c>
      <c r="J9" s="174">
        <f t="shared" ref="J9:J14" si="2">G9/C9*100</f>
        <v>98.922840184655968</v>
      </c>
      <c r="K9" s="307"/>
    </row>
    <row r="10" spans="1:15" ht="20.100000000000001" customHeight="1" x14ac:dyDescent="0.2">
      <c r="A10" s="308" t="s">
        <v>101</v>
      </c>
      <c r="B10" s="309" t="s">
        <v>100</v>
      </c>
      <c r="C10" s="175">
        <v>3606</v>
      </c>
      <c r="D10" s="176">
        <v>1980</v>
      </c>
      <c r="E10" s="177">
        <v>3600</v>
      </c>
      <c r="F10" s="176">
        <v>2006</v>
      </c>
      <c r="G10" s="175">
        <v>3600</v>
      </c>
      <c r="H10" s="178">
        <f t="shared" si="0"/>
        <v>101.31313131313131</v>
      </c>
      <c r="I10" s="179">
        <f t="shared" si="1"/>
        <v>55.722222222222214</v>
      </c>
      <c r="J10" s="175">
        <f t="shared" si="2"/>
        <v>99.833610648918466</v>
      </c>
      <c r="K10" s="310"/>
      <c r="M10" s="365">
        <f>+D10/D17</f>
        <v>5.5602358887952823</v>
      </c>
      <c r="N10" s="365">
        <f>+F10/F17</f>
        <v>5.6190476190476186</v>
      </c>
      <c r="O10" s="365">
        <f>+N10-M10</f>
        <v>5.8811730252336325E-2</v>
      </c>
    </row>
    <row r="11" spans="1:15" ht="20.100000000000001" customHeight="1" x14ac:dyDescent="0.2">
      <c r="A11" s="308" t="s">
        <v>102</v>
      </c>
      <c r="B11" s="309" t="s">
        <v>100</v>
      </c>
      <c r="C11" s="175">
        <v>943</v>
      </c>
      <c r="D11" s="176">
        <v>648</v>
      </c>
      <c r="E11" s="177">
        <v>900</v>
      </c>
      <c r="F11" s="176">
        <v>688</v>
      </c>
      <c r="G11" s="175">
        <v>900</v>
      </c>
      <c r="H11" s="178">
        <f t="shared" si="0"/>
        <v>106.17283950617285</v>
      </c>
      <c r="I11" s="179">
        <f t="shared" si="1"/>
        <v>76.444444444444443</v>
      </c>
      <c r="J11" s="175">
        <f t="shared" si="2"/>
        <v>95.440084835630969</v>
      </c>
      <c r="K11" s="310"/>
    </row>
    <row r="12" spans="1:15" ht="20.100000000000001" customHeight="1" x14ac:dyDescent="0.2">
      <c r="A12" s="311" t="s">
        <v>103</v>
      </c>
      <c r="B12" s="309" t="s">
        <v>100</v>
      </c>
      <c r="C12" s="175">
        <v>17.5</v>
      </c>
      <c r="D12" s="176">
        <v>10.5</v>
      </c>
      <c r="E12" s="177">
        <v>12</v>
      </c>
      <c r="F12" s="176">
        <v>12.5</v>
      </c>
      <c r="G12" s="175">
        <v>14</v>
      </c>
      <c r="H12" s="178">
        <f t="shared" si="0"/>
        <v>119.04761904761905</v>
      </c>
      <c r="I12" s="179">
        <f t="shared" si="1"/>
        <v>104.16666666666667</v>
      </c>
      <c r="J12" s="175">
        <f t="shared" si="2"/>
        <v>80</v>
      </c>
      <c r="K12" s="310"/>
    </row>
    <row r="13" spans="1:15" ht="20.100000000000001" customHeight="1" x14ac:dyDescent="0.2">
      <c r="A13" s="311" t="s">
        <v>104</v>
      </c>
      <c r="B13" s="309" t="s">
        <v>100</v>
      </c>
      <c r="C13" s="175">
        <v>17460</v>
      </c>
      <c r="D13" s="176">
        <v>3000</v>
      </c>
      <c r="E13" s="177">
        <v>17000</v>
      </c>
      <c r="F13" s="176">
        <v>3500</v>
      </c>
      <c r="G13" s="175">
        <v>17000</v>
      </c>
      <c r="H13" s="178">
        <f t="shared" si="0"/>
        <v>116.66666666666667</v>
      </c>
      <c r="I13" s="179">
        <f t="shared" si="1"/>
        <v>20.588235294117645</v>
      </c>
      <c r="J13" s="175">
        <f t="shared" si="2"/>
        <v>97.365406643757154</v>
      </c>
      <c r="K13" s="310"/>
    </row>
    <row r="14" spans="1:15" ht="20.100000000000001" customHeight="1" x14ac:dyDescent="0.2">
      <c r="A14" s="312" t="s">
        <v>105</v>
      </c>
      <c r="B14" s="313" t="s">
        <v>100</v>
      </c>
      <c r="C14" s="180">
        <v>11200</v>
      </c>
      <c r="D14" s="181">
        <v>2500</v>
      </c>
      <c r="E14" s="182">
        <v>12500</v>
      </c>
      <c r="F14" s="181">
        <v>3000</v>
      </c>
      <c r="G14" s="180">
        <v>12500</v>
      </c>
      <c r="H14" s="183">
        <f t="shared" si="0"/>
        <v>120</v>
      </c>
      <c r="I14" s="184">
        <f t="shared" si="1"/>
        <v>24</v>
      </c>
      <c r="J14" s="180">
        <f t="shared" si="2"/>
        <v>111.60714285714286</v>
      </c>
      <c r="K14" s="314"/>
    </row>
    <row r="15" spans="1:15" ht="20.100000000000001" customHeight="1" x14ac:dyDescent="0.2">
      <c r="A15" s="315" t="s">
        <v>106</v>
      </c>
      <c r="B15" s="316"/>
      <c r="C15" s="185"/>
      <c r="D15" s="186"/>
      <c r="E15" s="187"/>
      <c r="F15" s="186"/>
      <c r="G15" s="185"/>
      <c r="H15" s="188"/>
      <c r="I15" s="188"/>
      <c r="J15" s="188"/>
      <c r="K15" s="317"/>
    </row>
    <row r="16" spans="1:15" ht="20.100000000000001" customHeight="1" x14ac:dyDescent="0.2">
      <c r="A16" s="318" t="s">
        <v>107</v>
      </c>
      <c r="B16" s="306" t="s">
        <v>108</v>
      </c>
      <c r="C16" s="174">
        <f>C17+C20+C21+C23+C24+C25+C26+C27+C28+C31</f>
        <v>2231.8000000000002</v>
      </c>
      <c r="D16" s="174">
        <f>D17+D20+D21+D23+D24+D25+D26+D27+D28+D31</f>
        <v>1626.5</v>
      </c>
      <c r="E16" s="171">
        <f>E17+E20+E21+E23+E24+E25+E26+E27+E28+E31</f>
        <v>2208</v>
      </c>
      <c r="F16" s="174">
        <f>F17+F20+F21+F23+F24+F25+F26+F27+F28+F31</f>
        <v>1652</v>
      </c>
      <c r="G16" s="174">
        <f>G17+G20+G21+G23+G24+G25+G26+G27+G28+G31</f>
        <v>2209</v>
      </c>
      <c r="H16" s="189">
        <f>F16/D16*100</f>
        <v>101.56778358438365</v>
      </c>
      <c r="I16" s="174">
        <f>F16/E16*100</f>
        <v>74.818840579710141</v>
      </c>
      <c r="J16" s="174">
        <f>G16/C16*100</f>
        <v>98.978403082713498</v>
      </c>
      <c r="K16" s="307"/>
    </row>
    <row r="17" spans="1:14" ht="20.100000000000001" customHeight="1" x14ac:dyDescent="0.2">
      <c r="A17" s="311" t="s">
        <v>109</v>
      </c>
      <c r="B17" s="309" t="s">
        <v>108</v>
      </c>
      <c r="C17" s="176">
        <f>SUM(C18:C19)</f>
        <v>661</v>
      </c>
      <c r="D17" s="176">
        <f>SUM(D18:D19)</f>
        <v>356.1</v>
      </c>
      <c r="E17" s="177">
        <v>660</v>
      </c>
      <c r="F17" s="177">
        <f>F18+F19</f>
        <v>357</v>
      </c>
      <c r="G17" s="177">
        <v>660</v>
      </c>
      <c r="H17" s="190">
        <f t="shared" ref="H17:H32" si="3">F17/D17*100</f>
        <v>100.25273799494524</v>
      </c>
      <c r="I17" s="175">
        <f t="shared" ref="I17:I32" si="4">F17/E17*100</f>
        <v>54.090909090909086</v>
      </c>
      <c r="J17" s="175">
        <f t="shared" ref="J17:J32" si="5">G17/C17*100</f>
        <v>99.848714069591523</v>
      </c>
      <c r="K17" s="310"/>
      <c r="L17" s="364">
        <f>+E17+E20</f>
        <v>930</v>
      </c>
      <c r="M17" s="364">
        <f>+F17+F20</f>
        <v>529</v>
      </c>
      <c r="N17" s="364">
        <f>+M17/L17*100</f>
        <v>56.881720430107528</v>
      </c>
    </row>
    <row r="18" spans="1:14" ht="20.100000000000001" customHeight="1" x14ac:dyDescent="0.2">
      <c r="A18" s="308" t="s">
        <v>110</v>
      </c>
      <c r="B18" s="309" t="s">
        <v>108</v>
      </c>
      <c r="C18" s="175">
        <v>356</v>
      </c>
      <c r="D18" s="176">
        <v>356.1</v>
      </c>
      <c r="E18" s="177">
        <v>360</v>
      </c>
      <c r="F18" s="176">
        <v>357</v>
      </c>
      <c r="G18" s="175">
        <v>357</v>
      </c>
      <c r="H18" s="190">
        <f t="shared" si="3"/>
        <v>100.25273799494524</v>
      </c>
      <c r="I18" s="175">
        <f t="shared" si="4"/>
        <v>99.166666666666671</v>
      </c>
      <c r="J18" s="175">
        <f t="shared" si="5"/>
        <v>100.28089887640451</v>
      </c>
      <c r="K18" s="310"/>
    </row>
    <row r="19" spans="1:14" ht="20.100000000000001" customHeight="1" x14ac:dyDescent="0.2">
      <c r="A19" s="308" t="s">
        <v>111</v>
      </c>
      <c r="B19" s="309" t="s">
        <v>108</v>
      </c>
      <c r="C19" s="175">
        <v>305</v>
      </c>
      <c r="D19" s="176">
        <v>0</v>
      </c>
      <c r="E19" s="177">
        <v>300</v>
      </c>
      <c r="F19" s="176">
        <v>0</v>
      </c>
      <c r="G19" s="175">
        <v>303</v>
      </c>
      <c r="H19" s="190"/>
      <c r="I19" s="175">
        <f t="shared" si="4"/>
        <v>0</v>
      </c>
      <c r="J19" s="175">
        <f t="shared" si="5"/>
        <v>99.344262295081961</v>
      </c>
      <c r="K19" s="310"/>
    </row>
    <row r="20" spans="1:14" ht="20.100000000000001" customHeight="1" x14ac:dyDescent="0.2">
      <c r="A20" s="311" t="s">
        <v>112</v>
      </c>
      <c r="B20" s="309" t="s">
        <v>108</v>
      </c>
      <c r="C20" s="175">
        <v>242</v>
      </c>
      <c r="D20" s="176">
        <v>166.6</v>
      </c>
      <c r="E20" s="177">
        <v>270</v>
      </c>
      <c r="F20" s="176">
        <v>172</v>
      </c>
      <c r="G20" s="175">
        <v>270</v>
      </c>
      <c r="H20" s="190">
        <f t="shared" si="3"/>
        <v>103.24129651860746</v>
      </c>
      <c r="I20" s="175">
        <f t="shared" si="4"/>
        <v>63.703703703703709</v>
      </c>
      <c r="J20" s="175">
        <f t="shared" si="5"/>
        <v>111.5702479338843</v>
      </c>
      <c r="K20" s="310"/>
    </row>
    <row r="21" spans="1:14" ht="20.100000000000001" customHeight="1" x14ac:dyDescent="0.2">
      <c r="A21" s="311" t="s">
        <v>104</v>
      </c>
      <c r="B21" s="309" t="s">
        <v>108</v>
      </c>
      <c r="C21" s="175">
        <v>725</v>
      </c>
      <c r="D21" s="176">
        <v>670</v>
      </c>
      <c r="E21" s="177">
        <v>700</v>
      </c>
      <c r="F21" s="176">
        <v>685</v>
      </c>
      <c r="G21" s="175">
        <v>700</v>
      </c>
      <c r="H21" s="190">
        <f t="shared" si="3"/>
        <v>102.23880597014924</v>
      </c>
      <c r="I21" s="175">
        <f t="shared" si="4"/>
        <v>97.857142857142847</v>
      </c>
      <c r="J21" s="175">
        <f t="shared" si="5"/>
        <v>96.551724137931032</v>
      </c>
      <c r="K21" s="310"/>
    </row>
    <row r="22" spans="1:14" ht="20.100000000000001" customHeight="1" x14ac:dyDescent="0.2">
      <c r="A22" s="308" t="s">
        <v>113</v>
      </c>
      <c r="B22" s="309" t="s">
        <v>108</v>
      </c>
      <c r="C22" s="175">
        <v>674</v>
      </c>
      <c r="D22" s="176">
        <v>618</v>
      </c>
      <c r="E22" s="177">
        <v>550</v>
      </c>
      <c r="F22" s="176">
        <v>585</v>
      </c>
      <c r="G22" s="175">
        <v>550</v>
      </c>
      <c r="H22" s="190">
        <f t="shared" si="3"/>
        <v>94.660194174757279</v>
      </c>
      <c r="I22" s="175">
        <f t="shared" si="4"/>
        <v>106.36363636363637</v>
      </c>
      <c r="J22" s="175">
        <f t="shared" si="5"/>
        <v>81.602373887240347</v>
      </c>
      <c r="K22" s="310"/>
    </row>
    <row r="23" spans="1:14" ht="20.100000000000001" customHeight="1" x14ac:dyDescent="0.2">
      <c r="A23" s="311" t="s">
        <v>114</v>
      </c>
      <c r="B23" s="309" t="s">
        <v>108</v>
      </c>
      <c r="C23" s="175">
        <v>100</v>
      </c>
      <c r="D23" s="176">
        <v>65</v>
      </c>
      <c r="E23" s="177">
        <v>100</v>
      </c>
      <c r="F23" s="176">
        <v>66</v>
      </c>
      <c r="G23" s="175">
        <v>100</v>
      </c>
      <c r="H23" s="190">
        <f t="shared" si="3"/>
        <v>101.53846153846153</v>
      </c>
      <c r="I23" s="175">
        <f t="shared" si="4"/>
        <v>66</v>
      </c>
      <c r="J23" s="175">
        <f t="shared" si="5"/>
        <v>100</v>
      </c>
      <c r="K23" s="310"/>
    </row>
    <row r="24" spans="1:14" ht="20.100000000000001" customHeight="1" x14ac:dyDescent="0.2">
      <c r="A24" s="311" t="s">
        <v>103</v>
      </c>
      <c r="B24" s="309" t="s">
        <v>108</v>
      </c>
      <c r="C24" s="175">
        <v>10.8</v>
      </c>
      <c r="D24" s="176">
        <v>6.8</v>
      </c>
      <c r="E24" s="177">
        <v>8</v>
      </c>
      <c r="F24" s="176">
        <v>6</v>
      </c>
      <c r="G24" s="175">
        <v>8</v>
      </c>
      <c r="H24" s="190">
        <f t="shared" si="3"/>
        <v>88.235294117647058</v>
      </c>
      <c r="I24" s="175">
        <f t="shared" si="4"/>
        <v>75</v>
      </c>
      <c r="J24" s="175">
        <f t="shared" si="5"/>
        <v>74.074074074074076</v>
      </c>
      <c r="K24" s="310"/>
    </row>
    <row r="25" spans="1:14" ht="20.100000000000001" customHeight="1" x14ac:dyDescent="0.2">
      <c r="A25" s="311" t="s">
        <v>115</v>
      </c>
      <c r="B25" s="309" t="s">
        <v>108</v>
      </c>
      <c r="C25" s="175">
        <v>125</v>
      </c>
      <c r="D25" s="176">
        <v>81.5</v>
      </c>
      <c r="E25" s="177">
        <v>120</v>
      </c>
      <c r="F25" s="176">
        <v>82</v>
      </c>
      <c r="G25" s="175">
        <v>120</v>
      </c>
      <c r="H25" s="190">
        <f t="shared" si="3"/>
        <v>100.61349693251533</v>
      </c>
      <c r="I25" s="175">
        <f t="shared" si="4"/>
        <v>68.333333333333329</v>
      </c>
      <c r="J25" s="175">
        <f t="shared" si="5"/>
        <v>96</v>
      </c>
      <c r="K25" s="310"/>
    </row>
    <row r="26" spans="1:14" ht="20.100000000000001" customHeight="1" x14ac:dyDescent="0.2">
      <c r="A26" s="312" t="s">
        <v>116</v>
      </c>
      <c r="B26" s="313" t="s">
        <v>108</v>
      </c>
      <c r="C26" s="180">
        <v>207</v>
      </c>
      <c r="D26" s="181">
        <f>130+12.5</f>
        <v>142.5</v>
      </c>
      <c r="E26" s="191">
        <v>190</v>
      </c>
      <c r="F26" s="191">
        <v>146</v>
      </c>
      <c r="G26" s="192">
        <v>190</v>
      </c>
      <c r="H26" s="192">
        <f t="shared" si="3"/>
        <v>102.45614035087721</v>
      </c>
      <c r="I26" s="180">
        <f t="shared" si="4"/>
        <v>76.84210526315789</v>
      </c>
      <c r="J26" s="180">
        <f t="shared" si="5"/>
        <v>91.787439613526573</v>
      </c>
      <c r="K26" s="319"/>
    </row>
    <row r="27" spans="1:14" ht="20.100000000000001" customHeight="1" x14ac:dyDescent="0.2">
      <c r="A27" s="320" t="s">
        <v>117</v>
      </c>
      <c r="B27" s="321" t="s">
        <v>108</v>
      </c>
      <c r="C27" s="193">
        <v>53</v>
      </c>
      <c r="D27" s="194">
        <v>31</v>
      </c>
      <c r="E27" s="195">
        <v>50</v>
      </c>
      <c r="F27" s="194">
        <v>30</v>
      </c>
      <c r="G27" s="193">
        <v>50</v>
      </c>
      <c r="H27" s="196">
        <f t="shared" si="3"/>
        <v>96.774193548387103</v>
      </c>
      <c r="I27" s="193">
        <f t="shared" si="4"/>
        <v>60</v>
      </c>
      <c r="J27" s="193">
        <f t="shared" si="5"/>
        <v>94.339622641509436</v>
      </c>
      <c r="K27" s="322"/>
    </row>
    <row r="28" spans="1:14" ht="20.100000000000001" customHeight="1" x14ac:dyDescent="0.2">
      <c r="A28" s="311" t="s">
        <v>118</v>
      </c>
      <c r="B28" s="309" t="s">
        <v>108</v>
      </c>
      <c r="C28" s="175">
        <v>27</v>
      </c>
      <c r="D28" s="176">
        <v>27</v>
      </c>
      <c r="E28" s="177">
        <v>25</v>
      </c>
      <c r="F28" s="176">
        <v>26</v>
      </c>
      <c r="G28" s="175">
        <v>26</v>
      </c>
      <c r="H28" s="190">
        <f t="shared" si="3"/>
        <v>96.296296296296291</v>
      </c>
      <c r="I28" s="175">
        <f t="shared" si="4"/>
        <v>104</v>
      </c>
      <c r="J28" s="175">
        <f t="shared" si="5"/>
        <v>96.296296296296291</v>
      </c>
      <c r="K28" s="310"/>
    </row>
    <row r="29" spans="1:14" ht="20.100000000000001" customHeight="1" x14ac:dyDescent="0.2">
      <c r="A29" s="311" t="s">
        <v>119</v>
      </c>
      <c r="B29" s="309" t="s">
        <v>108</v>
      </c>
      <c r="C29" s="175">
        <v>3110</v>
      </c>
      <c r="D29" s="176">
        <v>3146</v>
      </c>
      <c r="E29" s="177">
        <v>3100</v>
      </c>
      <c r="F29" s="258">
        <v>3050</v>
      </c>
      <c r="G29" s="258">
        <v>3050</v>
      </c>
      <c r="H29" s="175">
        <f>E29/D29*100</f>
        <v>98.537825810553088</v>
      </c>
      <c r="I29" s="175">
        <f>F29/E29*100</f>
        <v>98.387096774193552</v>
      </c>
      <c r="J29" s="175">
        <f t="shared" si="5"/>
        <v>98.070739549839232</v>
      </c>
      <c r="K29" s="310"/>
    </row>
    <row r="30" spans="1:14" ht="20.100000000000001" customHeight="1" x14ac:dyDescent="0.2">
      <c r="A30" s="308" t="s">
        <v>120</v>
      </c>
      <c r="B30" s="309" t="s">
        <v>108</v>
      </c>
      <c r="C30" s="175">
        <v>0</v>
      </c>
      <c r="D30" s="176">
        <v>0</v>
      </c>
      <c r="E30" s="177">
        <v>0</v>
      </c>
      <c r="F30" s="176">
        <v>0</v>
      </c>
      <c r="G30" s="175">
        <v>0</v>
      </c>
      <c r="H30" s="190"/>
      <c r="I30" s="175"/>
      <c r="J30" s="175"/>
      <c r="K30" s="310"/>
    </row>
    <row r="31" spans="1:14" ht="20.100000000000001" customHeight="1" x14ac:dyDescent="0.2">
      <c r="A31" s="311" t="s">
        <v>121</v>
      </c>
      <c r="B31" s="309" t="s">
        <v>108</v>
      </c>
      <c r="C31" s="175">
        <v>81</v>
      </c>
      <c r="D31" s="176">
        <v>80</v>
      </c>
      <c r="E31" s="177">
        <v>85</v>
      </c>
      <c r="F31" s="176">
        <v>82</v>
      </c>
      <c r="G31" s="175">
        <v>85</v>
      </c>
      <c r="H31" s="190">
        <f t="shared" si="3"/>
        <v>102.49999999999999</v>
      </c>
      <c r="I31" s="175">
        <f t="shared" si="4"/>
        <v>96.470588235294116</v>
      </c>
      <c r="J31" s="175">
        <f t="shared" si="5"/>
        <v>104.93827160493827</v>
      </c>
      <c r="K31" s="310"/>
    </row>
    <row r="32" spans="1:14" ht="20.100000000000001" customHeight="1" x14ac:dyDescent="0.2">
      <c r="A32" s="323" t="s">
        <v>122</v>
      </c>
      <c r="B32" s="313" t="s">
        <v>123</v>
      </c>
      <c r="C32" s="197">
        <v>59.7</v>
      </c>
      <c r="D32" s="198">
        <v>57.56</v>
      </c>
      <c r="E32" s="199">
        <v>61</v>
      </c>
      <c r="F32" s="198">
        <v>60</v>
      </c>
      <c r="G32" s="197">
        <v>61</v>
      </c>
      <c r="H32" s="192">
        <f t="shared" si="3"/>
        <v>104.23905489923557</v>
      </c>
      <c r="I32" s="180">
        <f t="shared" si="4"/>
        <v>98.360655737704917</v>
      </c>
      <c r="J32" s="180">
        <f t="shared" si="5"/>
        <v>102.17755443886097</v>
      </c>
      <c r="K32" s="319"/>
    </row>
    <row r="33" spans="1:14" ht="20.100000000000001" customHeight="1" x14ac:dyDescent="0.2">
      <c r="A33" s="295" t="s">
        <v>124</v>
      </c>
      <c r="B33" s="301"/>
      <c r="C33" s="200"/>
      <c r="D33" s="201"/>
      <c r="E33" s="202"/>
      <c r="F33" s="201"/>
      <c r="G33" s="200"/>
      <c r="H33" s="203"/>
      <c r="I33" s="203"/>
      <c r="J33" s="203"/>
      <c r="K33" s="300"/>
    </row>
    <row r="34" spans="1:14" ht="20.100000000000001" customHeight="1" x14ac:dyDescent="0.2">
      <c r="A34" s="324" t="s">
        <v>125</v>
      </c>
      <c r="B34" s="306" t="s">
        <v>14</v>
      </c>
      <c r="C34" s="174">
        <v>43</v>
      </c>
      <c r="D34" s="170">
        <v>42</v>
      </c>
      <c r="E34" s="171">
        <v>45</v>
      </c>
      <c r="F34" s="170">
        <v>44</v>
      </c>
      <c r="G34" s="174">
        <v>45</v>
      </c>
      <c r="H34" s="178">
        <f>F34/D34*100</f>
        <v>104.76190476190477</v>
      </c>
      <c r="I34" s="179">
        <f>F34/E34*100</f>
        <v>97.777777777777771</v>
      </c>
      <c r="J34" s="175">
        <f>G34/C34*100</f>
        <v>104.65116279069768</v>
      </c>
      <c r="K34" s="307"/>
    </row>
    <row r="35" spans="1:14" ht="20.100000000000001" customHeight="1" x14ac:dyDescent="0.2">
      <c r="A35" s="325" t="s">
        <v>126</v>
      </c>
      <c r="B35" s="309" t="s">
        <v>14</v>
      </c>
      <c r="C35" s="175">
        <v>42.5</v>
      </c>
      <c r="D35" s="176">
        <v>39</v>
      </c>
      <c r="E35" s="177">
        <v>44</v>
      </c>
      <c r="F35" s="176">
        <v>43</v>
      </c>
      <c r="G35" s="175">
        <v>45</v>
      </c>
      <c r="H35" s="178">
        <f>F35/D35*100</f>
        <v>110.25641025641026</v>
      </c>
      <c r="I35" s="179">
        <f>F35/E35*100</f>
        <v>97.727272727272734</v>
      </c>
      <c r="J35" s="175">
        <f>G35/C35*100</f>
        <v>105.88235294117648</v>
      </c>
      <c r="K35" s="310"/>
    </row>
    <row r="36" spans="1:14" ht="20.100000000000001" customHeight="1" x14ac:dyDescent="0.2">
      <c r="A36" s="326" t="s">
        <v>127</v>
      </c>
      <c r="B36" s="313" t="s">
        <v>14</v>
      </c>
      <c r="C36" s="197">
        <v>30</v>
      </c>
      <c r="D36" s="198">
        <v>32</v>
      </c>
      <c r="E36" s="199">
        <v>32</v>
      </c>
      <c r="F36" s="198">
        <v>32</v>
      </c>
      <c r="G36" s="197">
        <v>33</v>
      </c>
      <c r="H36" s="183">
        <f>F36/D36*100</f>
        <v>100</v>
      </c>
      <c r="I36" s="184">
        <f>F36/E36*100</f>
        <v>100</v>
      </c>
      <c r="J36" s="180">
        <f>G36/C36*100</f>
        <v>110.00000000000001</v>
      </c>
      <c r="K36" s="319"/>
    </row>
    <row r="37" spans="1:14" ht="20.100000000000001" customHeight="1" x14ac:dyDescent="0.2">
      <c r="A37" s="295" t="s">
        <v>128</v>
      </c>
      <c r="B37" s="296"/>
      <c r="C37" s="204"/>
      <c r="D37" s="205"/>
      <c r="E37" s="206"/>
      <c r="F37" s="205"/>
      <c r="G37" s="204"/>
      <c r="H37" s="207"/>
      <c r="I37" s="207"/>
      <c r="J37" s="207"/>
      <c r="K37" s="300"/>
    </row>
    <row r="38" spans="1:14" ht="20.100000000000001" customHeight="1" x14ac:dyDescent="0.2">
      <c r="A38" s="320" t="s">
        <v>129</v>
      </c>
      <c r="B38" s="321" t="s">
        <v>130</v>
      </c>
      <c r="C38" s="208">
        <v>1660</v>
      </c>
      <c r="D38" s="209">
        <v>1627</v>
      </c>
      <c r="E38" s="210">
        <v>1650</v>
      </c>
      <c r="F38" s="209">
        <v>1788</v>
      </c>
      <c r="G38" s="208">
        <v>1750</v>
      </c>
      <c r="H38" s="211">
        <f>F38/D38*100</f>
        <v>109.89551321450521</v>
      </c>
      <c r="I38" s="212">
        <f>F38/E38*100</f>
        <v>108.36363636363637</v>
      </c>
      <c r="J38" s="193">
        <f>G38/C38*100</f>
        <v>105.42168674698796</v>
      </c>
      <c r="K38" s="327"/>
      <c r="L38" s="259"/>
      <c r="M38" s="168"/>
    </row>
    <row r="39" spans="1:14" ht="20.100000000000001" customHeight="1" x14ac:dyDescent="0.2">
      <c r="A39" s="311" t="s">
        <v>131</v>
      </c>
      <c r="B39" s="309" t="s">
        <v>130</v>
      </c>
      <c r="C39" s="213">
        <v>2900</v>
      </c>
      <c r="D39" s="214">
        <v>2899</v>
      </c>
      <c r="E39" s="215">
        <v>3000</v>
      </c>
      <c r="F39" s="214">
        <v>2800</v>
      </c>
      <c r="G39" s="213">
        <v>3000</v>
      </c>
      <c r="H39" s="178">
        <f t="shared" ref="H39:H46" si="6">F39/D39*100</f>
        <v>96.585029320455334</v>
      </c>
      <c r="I39" s="179">
        <f t="shared" ref="I39:I46" si="7">F39/E39*100</f>
        <v>93.333333333333329</v>
      </c>
      <c r="J39" s="175">
        <f t="shared" ref="J39:J46" si="8">G39/C39*100</f>
        <v>103.44827586206897</v>
      </c>
      <c r="K39" s="328"/>
      <c r="L39" s="259"/>
      <c r="M39" s="168"/>
    </row>
    <row r="40" spans="1:14" ht="20.100000000000001" customHeight="1" x14ac:dyDescent="0.2">
      <c r="A40" s="329" t="s">
        <v>132</v>
      </c>
      <c r="B40" s="309" t="s">
        <v>130</v>
      </c>
      <c r="C40" s="213">
        <v>1760</v>
      </c>
      <c r="D40" s="214">
        <v>1485</v>
      </c>
      <c r="E40" s="215">
        <v>2000</v>
      </c>
      <c r="F40" s="214">
        <v>1500</v>
      </c>
      <c r="G40" s="213">
        <v>1700</v>
      </c>
      <c r="H40" s="178">
        <f t="shared" si="6"/>
        <v>101.01010101010101</v>
      </c>
      <c r="I40" s="179">
        <f t="shared" si="7"/>
        <v>75</v>
      </c>
      <c r="J40" s="175">
        <f t="shared" si="8"/>
        <v>96.590909090909093</v>
      </c>
      <c r="K40" s="310"/>
      <c r="L40" s="259"/>
      <c r="M40" s="168"/>
      <c r="N40" s="168"/>
    </row>
    <row r="41" spans="1:14" ht="20.100000000000001" customHeight="1" x14ac:dyDescent="0.2">
      <c r="A41" s="311" t="s">
        <v>133</v>
      </c>
      <c r="B41" s="309" t="s">
        <v>134</v>
      </c>
      <c r="C41" s="213">
        <v>17400</v>
      </c>
      <c r="D41" s="214">
        <v>16817</v>
      </c>
      <c r="E41" s="215">
        <v>20000</v>
      </c>
      <c r="F41" s="214">
        <f>D41-240</f>
        <v>16577</v>
      </c>
      <c r="G41" s="213">
        <v>20000</v>
      </c>
      <c r="H41" s="178">
        <f t="shared" si="6"/>
        <v>98.572872688351083</v>
      </c>
      <c r="I41" s="179">
        <f t="shared" si="7"/>
        <v>82.884999999999991</v>
      </c>
      <c r="J41" s="175">
        <f t="shared" si="8"/>
        <v>114.94252873563218</v>
      </c>
      <c r="K41" s="328"/>
      <c r="L41" s="259"/>
      <c r="M41" s="168"/>
      <c r="N41" s="168"/>
    </row>
    <row r="42" spans="1:14" ht="20.100000000000001" customHeight="1" x14ac:dyDescent="0.2">
      <c r="A42" s="330" t="s">
        <v>135</v>
      </c>
      <c r="B42" s="309" t="s">
        <v>130</v>
      </c>
      <c r="C42" s="213">
        <v>8900</v>
      </c>
      <c r="D42" s="214">
        <v>8441</v>
      </c>
      <c r="E42" s="215">
        <v>9000</v>
      </c>
      <c r="F42" s="214">
        <v>8200</v>
      </c>
      <c r="G42" s="213">
        <v>9000</v>
      </c>
      <c r="H42" s="178">
        <f t="shared" si="6"/>
        <v>97.144888046439988</v>
      </c>
      <c r="I42" s="179">
        <f t="shared" si="7"/>
        <v>91.111111111111114</v>
      </c>
      <c r="J42" s="175">
        <f t="shared" si="8"/>
        <v>101.12359550561798</v>
      </c>
      <c r="K42" s="328"/>
      <c r="L42" s="259"/>
      <c r="M42" s="168"/>
      <c r="N42" s="168"/>
    </row>
    <row r="43" spans="1:14" ht="20.100000000000001" customHeight="1" x14ac:dyDescent="0.2">
      <c r="A43" s="331" t="s">
        <v>136</v>
      </c>
      <c r="B43" s="309" t="s">
        <v>130</v>
      </c>
      <c r="C43" s="213">
        <v>1150</v>
      </c>
      <c r="D43" s="214">
        <v>1042</v>
      </c>
      <c r="E43" s="215">
        <v>1200</v>
      </c>
      <c r="F43" s="214">
        <v>1010</v>
      </c>
      <c r="G43" s="213">
        <v>1200</v>
      </c>
      <c r="H43" s="178">
        <f t="shared" si="6"/>
        <v>96.928982725527831</v>
      </c>
      <c r="I43" s="179">
        <f t="shared" si="7"/>
        <v>84.166666666666671</v>
      </c>
      <c r="J43" s="175">
        <f t="shared" si="8"/>
        <v>104.34782608695652</v>
      </c>
      <c r="K43" s="310"/>
      <c r="L43" s="259"/>
    </row>
    <row r="44" spans="1:14" ht="20.100000000000001" customHeight="1" x14ac:dyDescent="0.2">
      <c r="A44" s="311" t="s">
        <v>137</v>
      </c>
      <c r="B44" s="309" t="s">
        <v>134</v>
      </c>
      <c r="C44" s="213">
        <v>320000</v>
      </c>
      <c r="D44" s="214">
        <v>153600</v>
      </c>
      <c r="E44" s="215">
        <v>300000</v>
      </c>
      <c r="F44" s="214">
        <v>160000</v>
      </c>
      <c r="G44" s="213">
        <v>300000</v>
      </c>
      <c r="H44" s="178">
        <f t="shared" si="6"/>
        <v>104.16666666666667</v>
      </c>
      <c r="I44" s="179">
        <f t="shared" si="7"/>
        <v>53.333333333333336</v>
      </c>
      <c r="J44" s="175">
        <f t="shared" si="8"/>
        <v>93.75</v>
      </c>
      <c r="K44" s="310"/>
      <c r="L44" s="259"/>
      <c r="M44" s="168"/>
      <c r="N44" s="168"/>
    </row>
    <row r="45" spans="1:14" ht="20.100000000000001" customHeight="1" x14ac:dyDescent="0.2">
      <c r="A45" s="311" t="s">
        <v>138</v>
      </c>
      <c r="B45" s="309" t="s">
        <v>139</v>
      </c>
      <c r="C45" s="213">
        <v>1400</v>
      </c>
      <c r="D45" s="214">
        <v>1500</v>
      </c>
      <c r="E45" s="215">
        <v>1500</v>
      </c>
      <c r="F45" s="263">
        <v>500</v>
      </c>
      <c r="G45" s="263">
        <v>500</v>
      </c>
      <c r="H45" s="178">
        <f t="shared" si="6"/>
        <v>33.333333333333329</v>
      </c>
      <c r="I45" s="179">
        <f t="shared" si="7"/>
        <v>33.333333333333329</v>
      </c>
      <c r="J45" s="175">
        <f t="shared" si="8"/>
        <v>35.714285714285715</v>
      </c>
      <c r="K45" s="310"/>
    </row>
    <row r="46" spans="1:14" ht="20.100000000000001" customHeight="1" x14ac:dyDescent="0.2">
      <c r="A46" s="312" t="s">
        <v>140</v>
      </c>
      <c r="B46" s="313" t="s">
        <v>100</v>
      </c>
      <c r="C46" s="180">
        <v>70</v>
      </c>
      <c r="D46" s="181">
        <f>D45*10/1000</f>
        <v>15</v>
      </c>
      <c r="E46" s="191">
        <v>75</v>
      </c>
      <c r="F46" s="181">
        <v>16</v>
      </c>
      <c r="G46" s="180">
        <f>G45*50/1000</f>
        <v>25</v>
      </c>
      <c r="H46" s="178">
        <f t="shared" si="6"/>
        <v>106.66666666666667</v>
      </c>
      <c r="I46" s="179">
        <f t="shared" si="7"/>
        <v>21.333333333333336</v>
      </c>
      <c r="J46" s="175">
        <f t="shared" si="8"/>
        <v>35.714285714285715</v>
      </c>
      <c r="K46" s="319"/>
    </row>
    <row r="47" spans="1:14" ht="20.100000000000001" customHeight="1" x14ac:dyDescent="0.2">
      <c r="A47" s="295" t="s">
        <v>141</v>
      </c>
      <c r="B47" s="296"/>
      <c r="C47" s="204"/>
      <c r="D47" s="205"/>
      <c r="E47" s="206"/>
      <c r="F47" s="205"/>
      <c r="G47" s="204"/>
      <c r="H47" s="207"/>
      <c r="I47" s="207"/>
      <c r="J47" s="207"/>
      <c r="K47" s="300"/>
    </row>
    <row r="48" spans="1:14" ht="20.100000000000001" customHeight="1" x14ac:dyDescent="0.2">
      <c r="A48" s="305" t="s">
        <v>142</v>
      </c>
      <c r="B48" s="306" t="s">
        <v>108</v>
      </c>
      <c r="C48" s="174">
        <v>56045</v>
      </c>
      <c r="D48" s="170">
        <v>56045</v>
      </c>
      <c r="E48" s="171">
        <v>56045</v>
      </c>
      <c r="F48" s="170">
        <v>56045</v>
      </c>
      <c r="G48" s="174">
        <v>56045</v>
      </c>
      <c r="H48" s="189">
        <f>F48/D48*100</f>
        <v>100</v>
      </c>
      <c r="I48" s="174">
        <f>F48/E48*100</f>
        <v>100</v>
      </c>
      <c r="J48" s="174">
        <f>G48/C48*100</f>
        <v>100</v>
      </c>
      <c r="K48" s="307"/>
    </row>
    <row r="49" spans="1:13" ht="20.100000000000001" customHeight="1" x14ac:dyDescent="0.2">
      <c r="A49" s="311" t="s">
        <v>143</v>
      </c>
      <c r="B49" s="309" t="s">
        <v>108</v>
      </c>
      <c r="C49" s="216">
        <v>6176</v>
      </c>
      <c r="D49" s="176">
        <v>6176</v>
      </c>
      <c r="E49" s="217">
        <v>6176</v>
      </c>
      <c r="F49" s="176">
        <v>6176</v>
      </c>
      <c r="G49" s="216">
        <v>6176</v>
      </c>
      <c r="H49" s="190">
        <f t="shared" ref="H49:H67" si="9">F49/D49*100</f>
        <v>100</v>
      </c>
      <c r="I49" s="175">
        <f t="shared" ref="I49:I67" si="10">F49/E49*100</f>
        <v>100</v>
      </c>
      <c r="J49" s="175">
        <f t="shared" ref="J49:J67" si="11">G49/C49*100</f>
        <v>100</v>
      </c>
      <c r="K49" s="310"/>
    </row>
    <row r="50" spans="1:13" ht="20.100000000000001" customHeight="1" x14ac:dyDescent="0.2">
      <c r="A50" s="332" t="s">
        <v>144</v>
      </c>
      <c r="B50" s="313" t="s">
        <v>108</v>
      </c>
      <c r="C50" s="218">
        <v>0</v>
      </c>
      <c r="D50" s="181">
        <v>0</v>
      </c>
      <c r="E50" s="219">
        <v>0</v>
      </c>
      <c r="F50" s="181">
        <v>0</v>
      </c>
      <c r="G50" s="218">
        <v>0</v>
      </c>
      <c r="H50" s="192"/>
      <c r="I50" s="180"/>
      <c r="J50" s="180"/>
      <c r="K50" s="220"/>
    </row>
    <row r="51" spans="1:13" ht="20.100000000000001" customHeight="1" x14ac:dyDescent="0.2">
      <c r="A51" s="333" t="s">
        <v>145</v>
      </c>
      <c r="B51" s="316" t="s">
        <v>146</v>
      </c>
      <c r="C51" s="221">
        <v>10</v>
      </c>
      <c r="D51" s="222">
        <v>2</v>
      </c>
      <c r="E51" s="223">
        <v>20</v>
      </c>
      <c r="F51" s="222">
        <v>0.5</v>
      </c>
      <c r="G51" s="221">
        <v>20</v>
      </c>
      <c r="H51" s="224">
        <f t="shared" si="9"/>
        <v>25</v>
      </c>
      <c r="I51" s="185">
        <f t="shared" si="10"/>
        <v>2.5</v>
      </c>
      <c r="J51" s="185">
        <f t="shared" si="11"/>
        <v>200</v>
      </c>
      <c r="K51" s="334"/>
    </row>
    <row r="52" spans="1:13" ht="20.100000000000001" customHeight="1" x14ac:dyDescent="0.2">
      <c r="A52" s="335" t="s">
        <v>147</v>
      </c>
      <c r="B52" s="321" t="s">
        <v>108</v>
      </c>
      <c r="C52" s="193">
        <f>C53+C54</f>
        <v>6300</v>
      </c>
      <c r="D52" s="194">
        <f>D53+D54</f>
        <v>2750</v>
      </c>
      <c r="E52" s="195">
        <v>5300</v>
      </c>
      <c r="F52" s="194">
        <f>F53+F54</f>
        <v>2750</v>
      </c>
      <c r="G52" s="193">
        <f>G53+G54</f>
        <v>5300</v>
      </c>
      <c r="H52" s="211">
        <f t="shared" si="9"/>
        <v>100</v>
      </c>
      <c r="I52" s="212">
        <f t="shared" si="10"/>
        <v>51.886792452830186</v>
      </c>
      <c r="J52" s="193">
        <f t="shared" si="11"/>
        <v>84.126984126984127</v>
      </c>
      <c r="K52" s="322"/>
    </row>
    <row r="53" spans="1:13" ht="20.100000000000001" customHeight="1" x14ac:dyDescent="0.2">
      <c r="A53" s="336" t="s">
        <v>148</v>
      </c>
      <c r="B53" s="309" t="s">
        <v>108</v>
      </c>
      <c r="C53" s="216">
        <v>6000</v>
      </c>
      <c r="D53" s="176">
        <v>2500</v>
      </c>
      <c r="E53" s="217">
        <v>5000</v>
      </c>
      <c r="F53" s="176">
        <v>2500</v>
      </c>
      <c r="G53" s="216">
        <v>5000</v>
      </c>
      <c r="H53" s="178">
        <f t="shared" si="9"/>
        <v>100</v>
      </c>
      <c r="I53" s="179">
        <f t="shared" si="10"/>
        <v>50</v>
      </c>
      <c r="J53" s="175">
        <f t="shared" si="11"/>
        <v>83.333333333333343</v>
      </c>
      <c r="K53" s="225"/>
      <c r="M53" s="168"/>
    </row>
    <row r="54" spans="1:13" ht="20.100000000000001" customHeight="1" x14ac:dyDescent="0.2">
      <c r="A54" s="337" t="s">
        <v>149</v>
      </c>
      <c r="B54" s="309" t="s">
        <v>108</v>
      </c>
      <c r="C54" s="216">
        <v>300</v>
      </c>
      <c r="D54" s="176">
        <v>250</v>
      </c>
      <c r="E54" s="217">
        <v>300</v>
      </c>
      <c r="F54" s="176">
        <v>250</v>
      </c>
      <c r="G54" s="216">
        <v>300</v>
      </c>
      <c r="H54" s="178">
        <f t="shared" si="9"/>
        <v>100</v>
      </c>
      <c r="I54" s="179">
        <f t="shared" si="10"/>
        <v>83.333333333333343</v>
      </c>
      <c r="J54" s="175">
        <f t="shared" si="11"/>
        <v>100</v>
      </c>
      <c r="K54" s="310"/>
    </row>
    <row r="55" spans="1:13" ht="20.100000000000001" customHeight="1" x14ac:dyDescent="0.2">
      <c r="A55" s="338" t="s">
        <v>150</v>
      </c>
      <c r="B55" s="309" t="s">
        <v>108</v>
      </c>
      <c r="C55" s="175">
        <f>C56+C57</f>
        <v>33000</v>
      </c>
      <c r="D55" s="176">
        <f>D56+D57</f>
        <v>33000</v>
      </c>
      <c r="E55" s="177">
        <v>33000</v>
      </c>
      <c r="F55" s="176">
        <f>F56+F57</f>
        <v>33000</v>
      </c>
      <c r="G55" s="175">
        <f>G56+G57</f>
        <v>33000</v>
      </c>
      <c r="H55" s="178">
        <f t="shared" si="9"/>
        <v>100</v>
      </c>
      <c r="I55" s="179">
        <f t="shared" si="10"/>
        <v>100</v>
      </c>
      <c r="J55" s="175">
        <f t="shared" si="11"/>
        <v>100</v>
      </c>
      <c r="K55" s="310"/>
    </row>
    <row r="56" spans="1:13" ht="20.100000000000001" customHeight="1" x14ac:dyDescent="0.2">
      <c r="A56" s="336" t="s">
        <v>151</v>
      </c>
      <c r="B56" s="309" t="s">
        <v>108</v>
      </c>
      <c r="C56" s="216">
        <v>3000</v>
      </c>
      <c r="D56" s="176">
        <v>3000</v>
      </c>
      <c r="E56" s="217">
        <v>3000</v>
      </c>
      <c r="F56" s="176">
        <v>3000</v>
      </c>
      <c r="G56" s="216">
        <v>3000</v>
      </c>
      <c r="H56" s="178">
        <f t="shared" si="9"/>
        <v>100</v>
      </c>
      <c r="I56" s="179">
        <f t="shared" si="10"/>
        <v>100</v>
      </c>
      <c r="J56" s="175">
        <f t="shared" si="11"/>
        <v>100</v>
      </c>
      <c r="K56" s="310"/>
    </row>
    <row r="57" spans="1:13" ht="20.100000000000001" customHeight="1" x14ac:dyDescent="0.2">
      <c r="A57" s="337" t="s">
        <v>152</v>
      </c>
      <c r="B57" s="309" t="s">
        <v>108</v>
      </c>
      <c r="C57" s="216">
        <v>30000</v>
      </c>
      <c r="D57" s="176">
        <v>30000</v>
      </c>
      <c r="E57" s="217">
        <v>30000</v>
      </c>
      <c r="F57" s="176">
        <v>30000</v>
      </c>
      <c r="G57" s="216">
        <v>30000</v>
      </c>
      <c r="H57" s="178">
        <f t="shared" si="9"/>
        <v>100</v>
      </c>
      <c r="I57" s="179">
        <f t="shared" si="10"/>
        <v>100</v>
      </c>
      <c r="J57" s="175">
        <f t="shared" si="11"/>
        <v>100</v>
      </c>
      <c r="K57" s="339"/>
    </row>
    <row r="58" spans="1:13" ht="20.100000000000001" customHeight="1" x14ac:dyDescent="0.2">
      <c r="A58" s="338" t="s">
        <v>153</v>
      </c>
      <c r="B58" s="309" t="s">
        <v>108</v>
      </c>
      <c r="C58" s="175">
        <f>C59+C60</f>
        <v>48988</v>
      </c>
      <c r="D58" s="175">
        <f>D59+D60</f>
        <v>48988</v>
      </c>
      <c r="E58" s="177">
        <v>48988</v>
      </c>
      <c r="F58" s="175">
        <f>F59+F60</f>
        <v>48988</v>
      </c>
      <c r="G58" s="175">
        <f>G59+G60</f>
        <v>48988</v>
      </c>
      <c r="H58" s="178">
        <f t="shared" si="9"/>
        <v>100</v>
      </c>
      <c r="I58" s="179">
        <f t="shared" si="10"/>
        <v>100</v>
      </c>
      <c r="J58" s="175">
        <f t="shared" si="11"/>
        <v>100</v>
      </c>
      <c r="K58" s="310"/>
    </row>
    <row r="59" spans="1:13" ht="20.100000000000001" customHeight="1" x14ac:dyDescent="0.2">
      <c r="A59" s="336" t="s">
        <v>151</v>
      </c>
      <c r="B59" s="309" t="s">
        <v>108</v>
      </c>
      <c r="C59" s="175">
        <v>6756</v>
      </c>
      <c r="D59" s="176">
        <v>6756</v>
      </c>
      <c r="E59" s="177">
        <v>6756</v>
      </c>
      <c r="F59" s="176">
        <v>6756</v>
      </c>
      <c r="G59" s="175">
        <v>6756</v>
      </c>
      <c r="H59" s="178">
        <f t="shared" si="9"/>
        <v>100</v>
      </c>
      <c r="I59" s="179">
        <f t="shared" si="10"/>
        <v>100</v>
      </c>
      <c r="J59" s="175">
        <f t="shared" si="11"/>
        <v>100</v>
      </c>
      <c r="K59" s="310"/>
    </row>
    <row r="60" spans="1:13" ht="20.100000000000001" customHeight="1" x14ac:dyDescent="0.2">
      <c r="A60" s="340" t="s">
        <v>152</v>
      </c>
      <c r="B60" s="309" t="s">
        <v>108</v>
      </c>
      <c r="C60" s="175">
        <v>42232</v>
      </c>
      <c r="D60" s="176">
        <v>42232</v>
      </c>
      <c r="E60" s="177">
        <v>42232</v>
      </c>
      <c r="F60" s="176">
        <v>42232</v>
      </c>
      <c r="G60" s="175">
        <v>42232</v>
      </c>
      <c r="H60" s="178">
        <f t="shared" si="9"/>
        <v>100</v>
      </c>
      <c r="I60" s="179">
        <f t="shared" si="10"/>
        <v>100</v>
      </c>
      <c r="J60" s="175">
        <f t="shared" si="11"/>
        <v>100</v>
      </c>
      <c r="K60" s="310"/>
    </row>
    <row r="61" spans="1:13" ht="20.100000000000001" customHeight="1" x14ac:dyDescent="0.2">
      <c r="A61" s="338" t="s">
        <v>154</v>
      </c>
      <c r="B61" s="309" t="s">
        <v>108</v>
      </c>
      <c r="C61" s="216">
        <v>250</v>
      </c>
      <c r="D61" s="176">
        <v>50</v>
      </c>
      <c r="E61" s="217">
        <v>250</v>
      </c>
      <c r="F61" s="176">
        <v>0</v>
      </c>
      <c r="G61" s="216">
        <v>100</v>
      </c>
      <c r="H61" s="178"/>
      <c r="I61" s="179">
        <f t="shared" si="10"/>
        <v>0</v>
      </c>
      <c r="J61" s="175">
        <f t="shared" si="11"/>
        <v>40</v>
      </c>
      <c r="K61" s="310"/>
    </row>
    <row r="62" spans="1:13" ht="20.100000000000001" customHeight="1" x14ac:dyDescent="0.2">
      <c r="A62" s="338" t="s">
        <v>155</v>
      </c>
      <c r="B62" s="309" t="s">
        <v>108</v>
      </c>
      <c r="C62" s="216">
        <v>6756</v>
      </c>
      <c r="D62" s="176">
        <f>C62</f>
        <v>6756</v>
      </c>
      <c r="E62" s="217">
        <v>6756</v>
      </c>
      <c r="F62" s="176">
        <f>E62</f>
        <v>6756</v>
      </c>
      <c r="G62" s="216">
        <v>6756</v>
      </c>
      <c r="H62" s="178"/>
      <c r="I62" s="179">
        <f t="shared" si="10"/>
        <v>100</v>
      </c>
      <c r="J62" s="175"/>
      <c r="K62" s="225"/>
    </row>
    <row r="63" spans="1:13" ht="20.100000000000001" customHeight="1" x14ac:dyDescent="0.2">
      <c r="A63" s="338" t="s">
        <v>156</v>
      </c>
      <c r="B63" s="309" t="s">
        <v>157</v>
      </c>
      <c r="C63" s="175">
        <v>73.2</v>
      </c>
      <c r="D63" s="176">
        <v>35</v>
      </c>
      <c r="E63" s="177">
        <v>80</v>
      </c>
      <c r="F63" s="176">
        <v>36</v>
      </c>
      <c r="G63" s="175">
        <v>80</v>
      </c>
      <c r="H63" s="178">
        <f t="shared" si="9"/>
        <v>102.85714285714285</v>
      </c>
      <c r="I63" s="179">
        <f t="shared" si="10"/>
        <v>45</v>
      </c>
      <c r="J63" s="175">
        <f t="shared" si="11"/>
        <v>109.28961748633878</v>
      </c>
      <c r="K63" s="310"/>
    </row>
    <row r="64" spans="1:13" ht="20.100000000000001" customHeight="1" x14ac:dyDescent="0.2">
      <c r="A64" s="329" t="s">
        <v>158</v>
      </c>
      <c r="B64" s="309" t="s">
        <v>157</v>
      </c>
      <c r="C64" s="226">
        <v>0</v>
      </c>
      <c r="D64" s="176">
        <v>0</v>
      </c>
      <c r="E64" s="227">
        <v>0</v>
      </c>
      <c r="F64" s="176">
        <v>0</v>
      </c>
      <c r="G64" s="226">
        <v>0</v>
      </c>
      <c r="H64" s="178"/>
      <c r="I64" s="179"/>
      <c r="J64" s="175"/>
      <c r="K64" s="310"/>
    </row>
    <row r="65" spans="1:14" ht="20.100000000000001" customHeight="1" x14ac:dyDescent="0.2">
      <c r="A65" s="341" t="s">
        <v>159</v>
      </c>
      <c r="B65" s="309" t="s">
        <v>157</v>
      </c>
      <c r="C65" s="216">
        <v>73.2</v>
      </c>
      <c r="D65" s="176">
        <v>35</v>
      </c>
      <c r="E65" s="217">
        <v>80</v>
      </c>
      <c r="F65" s="176">
        <v>36</v>
      </c>
      <c r="G65" s="216">
        <v>80</v>
      </c>
      <c r="H65" s="178">
        <f t="shared" si="9"/>
        <v>102.85714285714285</v>
      </c>
      <c r="I65" s="179">
        <f t="shared" si="10"/>
        <v>45</v>
      </c>
      <c r="J65" s="175">
        <f t="shared" si="11"/>
        <v>109.28961748633878</v>
      </c>
      <c r="K65" s="310"/>
    </row>
    <row r="66" spans="1:14" ht="20.100000000000001" customHeight="1" x14ac:dyDescent="0.2">
      <c r="A66" s="338" t="s">
        <v>160</v>
      </c>
      <c r="B66" s="309" t="s">
        <v>161</v>
      </c>
      <c r="C66" s="216">
        <v>80</v>
      </c>
      <c r="D66" s="176">
        <v>80</v>
      </c>
      <c r="E66" s="217">
        <v>80</v>
      </c>
      <c r="F66" s="176">
        <v>80</v>
      </c>
      <c r="G66" s="216">
        <v>80</v>
      </c>
      <c r="H66" s="178">
        <f t="shared" si="9"/>
        <v>100</v>
      </c>
      <c r="I66" s="179">
        <f t="shared" si="10"/>
        <v>100</v>
      </c>
      <c r="J66" s="175">
        <f t="shared" si="11"/>
        <v>100</v>
      </c>
      <c r="K66" s="310"/>
    </row>
    <row r="67" spans="1:14" ht="20.100000000000001" customHeight="1" x14ac:dyDescent="0.2">
      <c r="A67" s="312" t="s">
        <v>162</v>
      </c>
      <c r="B67" s="313" t="s">
        <v>36</v>
      </c>
      <c r="C67" s="218">
        <v>83.3</v>
      </c>
      <c r="D67" s="181">
        <v>83.3</v>
      </c>
      <c r="E67" s="219">
        <v>83.4</v>
      </c>
      <c r="F67" s="181">
        <v>83.3</v>
      </c>
      <c r="G67" s="218">
        <v>83.4</v>
      </c>
      <c r="H67" s="183">
        <f t="shared" si="9"/>
        <v>100</v>
      </c>
      <c r="I67" s="184">
        <f t="shared" si="10"/>
        <v>99.880095923261379</v>
      </c>
      <c r="J67" s="180">
        <f t="shared" si="11"/>
        <v>100.12004801920769</v>
      </c>
      <c r="K67" s="319"/>
    </row>
    <row r="68" spans="1:14" ht="20.100000000000001" customHeight="1" x14ac:dyDescent="0.2">
      <c r="A68" s="295" t="s">
        <v>163</v>
      </c>
      <c r="B68" s="296"/>
      <c r="C68" s="204"/>
      <c r="D68" s="205"/>
      <c r="E68" s="206"/>
      <c r="F68" s="205"/>
      <c r="G68" s="204"/>
      <c r="H68" s="207"/>
      <c r="I68" s="207"/>
      <c r="J68" s="207"/>
      <c r="K68" s="300"/>
    </row>
    <row r="69" spans="1:14" ht="20.100000000000001" customHeight="1" x14ac:dyDescent="0.2">
      <c r="A69" s="342" t="s">
        <v>164</v>
      </c>
      <c r="B69" s="301" t="s">
        <v>108</v>
      </c>
      <c r="C69" s="228">
        <v>58.4</v>
      </c>
      <c r="D69" s="229">
        <v>58.4</v>
      </c>
      <c r="E69" s="230">
        <v>60</v>
      </c>
      <c r="F69" s="229">
        <v>58</v>
      </c>
      <c r="G69" s="228">
        <v>60</v>
      </c>
      <c r="H69" s="231">
        <f>F69/D69*100</f>
        <v>99.315068493150676</v>
      </c>
      <c r="I69" s="232">
        <f>F69/E69*100</f>
        <v>96.666666666666671</v>
      </c>
      <c r="J69" s="233">
        <f>G69/C69*100</f>
        <v>102.73972602739727</v>
      </c>
      <c r="K69" s="300"/>
    </row>
    <row r="70" spans="1:14" ht="20.100000000000001" customHeight="1" x14ac:dyDescent="0.2">
      <c r="A70" s="343" t="s">
        <v>165</v>
      </c>
      <c r="B70" s="321" t="s">
        <v>108</v>
      </c>
      <c r="C70" s="234">
        <f>C69</f>
        <v>58.4</v>
      </c>
      <c r="D70" s="194">
        <f>D69</f>
        <v>58.4</v>
      </c>
      <c r="E70" s="235">
        <v>60</v>
      </c>
      <c r="F70" s="194">
        <f>F69</f>
        <v>58</v>
      </c>
      <c r="G70" s="234">
        <f>G69</f>
        <v>60</v>
      </c>
      <c r="H70" s="211">
        <f>F70/D70*100</f>
        <v>99.315068493150676</v>
      </c>
      <c r="I70" s="212">
        <f>F70/E70*100</f>
        <v>96.666666666666671</v>
      </c>
      <c r="J70" s="193">
        <f>G70/C70*100</f>
        <v>102.73972602739727</v>
      </c>
      <c r="K70" s="322"/>
    </row>
    <row r="71" spans="1:14" ht="20.100000000000001" customHeight="1" x14ac:dyDescent="0.2">
      <c r="A71" s="344" t="s">
        <v>166</v>
      </c>
      <c r="B71" s="345" t="s">
        <v>167</v>
      </c>
      <c r="C71" s="218">
        <v>300</v>
      </c>
      <c r="D71" s="236">
        <v>250</v>
      </c>
      <c r="E71" s="219">
        <v>900</v>
      </c>
      <c r="F71" s="236">
        <v>600</v>
      </c>
      <c r="G71" s="237">
        <v>900</v>
      </c>
      <c r="H71" s="238">
        <f>F71/D71*100</f>
        <v>240</v>
      </c>
      <c r="I71" s="239">
        <f>F71/E71*100</f>
        <v>66.666666666666657</v>
      </c>
      <c r="J71" s="240">
        <f>G71/C71*100</f>
        <v>300</v>
      </c>
      <c r="K71" s="346"/>
    </row>
    <row r="72" spans="1:14" ht="20.100000000000001" customHeight="1" x14ac:dyDescent="0.2">
      <c r="A72" s="305" t="s">
        <v>168</v>
      </c>
      <c r="B72" s="306"/>
      <c r="C72" s="241"/>
      <c r="D72" s="170"/>
      <c r="E72" s="242"/>
      <c r="F72" s="170"/>
      <c r="G72" s="241"/>
      <c r="H72" s="241"/>
      <c r="I72" s="241"/>
      <c r="J72" s="241"/>
      <c r="K72" s="307"/>
    </row>
    <row r="73" spans="1:14" ht="20.100000000000001" customHeight="1" x14ac:dyDescent="0.2">
      <c r="A73" s="336" t="s">
        <v>169</v>
      </c>
      <c r="B73" s="309" t="s">
        <v>100</v>
      </c>
      <c r="C73" s="216">
        <v>50</v>
      </c>
      <c r="D73" s="176">
        <v>15</v>
      </c>
      <c r="E73" s="217">
        <v>30</v>
      </c>
      <c r="F73" s="176">
        <v>20</v>
      </c>
      <c r="G73" s="216">
        <v>30</v>
      </c>
      <c r="H73" s="190">
        <f>F73/D73*100</f>
        <v>133.33333333333331</v>
      </c>
      <c r="I73" s="175">
        <f>F73/E73*100</f>
        <v>66.666666666666657</v>
      </c>
      <c r="J73" s="175">
        <f>G73/C73*100</f>
        <v>60</v>
      </c>
      <c r="K73" s="310"/>
    </row>
    <row r="74" spans="1:14" ht="20.100000000000001" customHeight="1" x14ac:dyDescent="0.2">
      <c r="A74" s="312" t="s">
        <v>170</v>
      </c>
      <c r="B74" s="313"/>
      <c r="C74" s="243"/>
      <c r="D74" s="181"/>
      <c r="E74" s="244"/>
      <c r="F74" s="181"/>
      <c r="G74" s="243"/>
      <c r="H74" s="243"/>
      <c r="I74" s="243"/>
      <c r="J74" s="243"/>
      <c r="K74" s="319"/>
    </row>
    <row r="75" spans="1:14" ht="20.100000000000001" customHeight="1" x14ac:dyDescent="0.2">
      <c r="A75" s="347" t="s">
        <v>171</v>
      </c>
      <c r="B75" s="316" t="s">
        <v>100</v>
      </c>
      <c r="C75" s="245">
        <v>200</v>
      </c>
      <c r="D75" s="222">
        <v>65</v>
      </c>
      <c r="E75" s="223">
        <v>200</v>
      </c>
      <c r="F75" s="222">
        <v>66</v>
      </c>
      <c r="G75" s="221">
        <v>200</v>
      </c>
      <c r="H75" s="224">
        <f>F75/D75*100</f>
        <v>101.53846153846153</v>
      </c>
      <c r="I75" s="185">
        <f>F75/E75*100</f>
        <v>33</v>
      </c>
      <c r="J75" s="185">
        <f>G75/C75*100</f>
        <v>100</v>
      </c>
      <c r="K75" s="334"/>
      <c r="M75" s="363"/>
      <c r="N75" s="363"/>
    </row>
    <row r="76" spans="1:14" ht="20.100000000000001" customHeight="1" x14ac:dyDescent="0.2">
      <c r="A76" s="348" t="s">
        <v>172</v>
      </c>
      <c r="B76" s="316" t="s">
        <v>161</v>
      </c>
      <c r="C76" s="218">
        <v>85</v>
      </c>
      <c r="D76" s="222">
        <v>85</v>
      </c>
      <c r="E76" s="246">
        <v>85</v>
      </c>
      <c r="F76" s="222">
        <v>85</v>
      </c>
      <c r="G76" s="221">
        <v>85</v>
      </c>
      <c r="H76" s="224">
        <f>F76/D76*100</f>
        <v>100</v>
      </c>
      <c r="I76" s="185">
        <f>F76/E76*100</f>
        <v>100</v>
      </c>
      <c r="J76" s="185">
        <f>G76/C76*100</f>
        <v>100</v>
      </c>
      <c r="K76" s="334"/>
    </row>
    <row r="77" spans="1:14" ht="20.100000000000001" customHeight="1" x14ac:dyDescent="0.2">
      <c r="A77" s="295" t="s">
        <v>173</v>
      </c>
      <c r="B77" s="297"/>
      <c r="C77" s="349"/>
      <c r="D77" s="350"/>
      <c r="E77" s="351"/>
      <c r="F77" s="350"/>
      <c r="G77" s="349"/>
      <c r="H77" s="352"/>
      <c r="I77" s="352"/>
      <c r="J77" s="352"/>
      <c r="K77" s="353"/>
    </row>
    <row r="78" spans="1:14" ht="20.100000000000001" customHeight="1" x14ac:dyDescent="0.2">
      <c r="A78" s="354" t="s">
        <v>174</v>
      </c>
      <c r="B78" s="306" t="s">
        <v>36</v>
      </c>
      <c r="C78" s="247">
        <f>SUM(C79:C89)/11</f>
        <v>47.790909090909096</v>
      </c>
      <c r="D78" s="174">
        <v>45</v>
      </c>
      <c r="E78" s="247">
        <v>74.099999999999994</v>
      </c>
      <c r="F78" s="174">
        <v>49.59</v>
      </c>
      <c r="G78" s="174">
        <v>50.3</v>
      </c>
      <c r="H78" s="174"/>
      <c r="I78" s="174"/>
      <c r="J78" s="174"/>
      <c r="K78" s="248"/>
    </row>
    <row r="79" spans="1:14" ht="20.100000000000001" customHeight="1" x14ac:dyDescent="0.2">
      <c r="A79" s="330" t="s">
        <v>175</v>
      </c>
      <c r="B79" s="309" t="s">
        <v>36</v>
      </c>
      <c r="C79" s="249">
        <v>100</v>
      </c>
      <c r="D79" s="175">
        <v>100</v>
      </c>
      <c r="E79" s="177">
        <v>100</v>
      </c>
      <c r="F79" s="175">
        <v>100</v>
      </c>
      <c r="G79" s="175">
        <v>100</v>
      </c>
      <c r="H79" s="175"/>
      <c r="I79" s="175"/>
      <c r="J79" s="175"/>
      <c r="K79" s="250"/>
    </row>
    <row r="80" spans="1:14" ht="20.100000000000001" customHeight="1" x14ac:dyDescent="0.2">
      <c r="A80" s="355" t="s">
        <v>176</v>
      </c>
      <c r="B80" s="309" t="s">
        <v>36</v>
      </c>
      <c r="C80" s="249">
        <v>60</v>
      </c>
      <c r="D80" s="175">
        <v>60</v>
      </c>
      <c r="E80" s="177">
        <v>65</v>
      </c>
      <c r="F80" s="175">
        <v>68</v>
      </c>
      <c r="G80" s="175">
        <v>70</v>
      </c>
      <c r="H80" s="175"/>
      <c r="I80" s="175"/>
      <c r="J80" s="175"/>
      <c r="K80" s="250"/>
    </row>
    <row r="81" spans="1:12" ht="20.100000000000001" customHeight="1" x14ac:dyDescent="0.2">
      <c r="A81" s="355" t="s">
        <v>177</v>
      </c>
      <c r="B81" s="309" t="s">
        <v>36</v>
      </c>
      <c r="C81" s="249">
        <v>70.7</v>
      </c>
      <c r="D81" s="175">
        <v>64</v>
      </c>
      <c r="E81" s="177">
        <v>75</v>
      </c>
      <c r="F81" s="175">
        <v>77</v>
      </c>
      <c r="G81" s="175">
        <v>78</v>
      </c>
      <c r="H81" s="175"/>
      <c r="I81" s="175"/>
      <c r="J81" s="175"/>
      <c r="K81" s="250"/>
    </row>
    <row r="82" spans="1:12" ht="20.100000000000001" customHeight="1" x14ac:dyDescent="0.2">
      <c r="A82" s="355" t="s">
        <v>178</v>
      </c>
      <c r="B82" s="309" t="s">
        <v>36</v>
      </c>
      <c r="C82" s="249">
        <v>65</v>
      </c>
      <c r="D82" s="175">
        <v>10</v>
      </c>
      <c r="E82" s="177">
        <v>70</v>
      </c>
      <c r="F82" s="175">
        <v>70</v>
      </c>
      <c r="G82" s="175">
        <v>73</v>
      </c>
      <c r="H82" s="175"/>
      <c r="I82" s="175"/>
      <c r="J82" s="175"/>
      <c r="K82" s="250"/>
    </row>
    <row r="83" spans="1:12" ht="20.100000000000001" customHeight="1" x14ac:dyDescent="0.2">
      <c r="A83" s="355" t="s">
        <v>179</v>
      </c>
      <c r="B83" s="309" t="s">
        <v>36</v>
      </c>
      <c r="C83" s="249">
        <v>83</v>
      </c>
      <c r="D83" s="175">
        <v>72</v>
      </c>
      <c r="E83" s="177">
        <v>85</v>
      </c>
      <c r="F83" s="175">
        <v>83</v>
      </c>
      <c r="G83" s="175">
        <v>85</v>
      </c>
      <c r="H83" s="175"/>
      <c r="I83" s="175"/>
      <c r="J83" s="175"/>
      <c r="K83" s="250"/>
    </row>
    <row r="84" spans="1:12" ht="20.100000000000001" customHeight="1" x14ac:dyDescent="0.2">
      <c r="A84" s="355" t="s">
        <v>180</v>
      </c>
      <c r="B84" s="309" t="s">
        <v>36</v>
      </c>
      <c r="C84" s="249">
        <v>100</v>
      </c>
      <c r="D84" s="175">
        <v>100</v>
      </c>
      <c r="E84" s="177">
        <v>100</v>
      </c>
      <c r="F84" s="175">
        <v>100</v>
      </c>
      <c r="G84" s="175">
        <v>100</v>
      </c>
      <c r="H84" s="175"/>
      <c r="I84" s="175"/>
      <c r="J84" s="175"/>
      <c r="K84" s="250"/>
    </row>
    <row r="85" spans="1:12" ht="20.100000000000001" customHeight="1" x14ac:dyDescent="0.2">
      <c r="A85" s="355" t="s">
        <v>181</v>
      </c>
      <c r="B85" s="309" t="s">
        <v>36</v>
      </c>
      <c r="C85" s="249">
        <v>47</v>
      </c>
      <c r="D85" s="175">
        <v>56</v>
      </c>
      <c r="E85" s="177">
        <v>80</v>
      </c>
      <c r="F85" s="175">
        <v>47</v>
      </c>
      <c r="G85" s="175">
        <v>47</v>
      </c>
      <c r="H85" s="175"/>
      <c r="I85" s="175"/>
      <c r="J85" s="175"/>
      <c r="K85" s="251"/>
    </row>
    <row r="86" spans="1:12" ht="20.100000000000001" customHeight="1" x14ac:dyDescent="0.2">
      <c r="A86" s="355" t="s">
        <v>182</v>
      </c>
      <c r="B86" s="309" t="s">
        <v>36</v>
      </c>
      <c r="C86" s="249">
        <v>0</v>
      </c>
      <c r="D86" s="175">
        <v>0</v>
      </c>
      <c r="E86" s="177">
        <v>60</v>
      </c>
      <c r="F86" s="175">
        <v>0</v>
      </c>
      <c r="G86" s="175">
        <v>0</v>
      </c>
      <c r="H86" s="175"/>
      <c r="I86" s="175"/>
      <c r="J86" s="175"/>
      <c r="K86" s="251"/>
    </row>
    <row r="87" spans="1:12" ht="20.100000000000001" customHeight="1" x14ac:dyDescent="0.2">
      <c r="A87" s="355" t="s">
        <v>183</v>
      </c>
      <c r="B87" s="309" t="s">
        <v>36</v>
      </c>
      <c r="C87" s="249">
        <v>0</v>
      </c>
      <c r="D87" s="175">
        <v>0</v>
      </c>
      <c r="E87" s="177">
        <v>60</v>
      </c>
      <c r="F87" s="175">
        <v>0</v>
      </c>
      <c r="G87" s="175">
        <v>0</v>
      </c>
      <c r="H87" s="175"/>
      <c r="I87" s="175"/>
      <c r="J87" s="175"/>
      <c r="K87" s="251"/>
    </row>
    <row r="88" spans="1:12" ht="20.100000000000001" customHeight="1" x14ac:dyDescent="0.25">
      <c r="A88" s="355" t="s">
        <v>184</v>
      </c>
      <c r="B88" s="309" t="s">
        <v>36</v>
      </c>
      <c r="C88" s="249">
        <v>0</v>
      </c>
      <c r="D88" s="175">
        <v>0</v>
      </c>
      <c r="E88" s="177">
        <v>60</v>
      </c>
      <c r="F88" s="175">
        <v>0</v>
      </c>
      <c r="G88" s="175">
        <v>0</v>
      </c>
      <c r="H88" s="356"/>
      <c r="I88" s="356"/>
      <c r="J88" s="356"/>
      <c r="K88" s="357"/>
    </row>
    <row r="89" spans="1:12" ht="20.100000000000001" customHeight="1" x14ac:dyDescent="0.25">
      <c r="A89" s="355" t="s">
        <v>185</v>
      </c>
      <c r="B89" s="309" t="s">
        <v>36</v>
      </c>
      <c r="C89" s="249">
        <v>0</v>
      </c>
      <c r="D89" s="175">
        <v>0</v>
      </c>
      <c r="E89" s="252">
        <v>60</v>
      </c>
      <c r="F89" s="175">
        <v>0</v>
      </c>
      <c r="G89" s="175">
        <v>0</v>
      </c>
      <c r="H89" s="358"/>
      <c r="I89" s="358"/>
      <c r="J89" s="358"/>
      <c r="K89" s="357"/>
      <c r="L89" s="253"/>
    </row>
    <row r="90" spans="1:12" ht="20.100000000000001" customHeight="1" thickBot="1" x14ac:dyDescent="0.3">
      <c r="A90" s="359" t="s">
        <v>186</v>
      </c>
      <c r="B90" s="360" t="s">
        <v>36</v>
      </c>
      <c r="C90" s="254">
        <v>99.7</v>
      </c>
      <c r="D90" s="255">
        <v>100</v>
      </c>
      <c r="E90" s="255">
        <v>100</v>
      </c>
      <c r="F90" s="255">
        <v>99.8</v>
      </c>
      <c r="G90" s="255">
        <v>100</v>
      </c>
      <c r="H90" s="361"/>
      <c r="I90" s="361"/>
      <c r="J90" s="361"/>
      <c r="K90" s="362"/>
    </row>
    <row r="91" spans="1:12" ht="13.5" thickTop="1" x14ac:dyDescent="0.2"/>
  </sheetData>
  <mergeCells count="11">
    <mergeCell ref="A3:K3"/>
    <mergeCell ref="A1:K1"/>
    <mergeCell ref="A2:K2"/>
    <mergeCell ref="A4:A5"/>
    <mergeCell ref="B4:B5"/>
    <mergeCell ref="C4:C5"/>
    <mergeCell ref="D4:D5"/>
    <mergeCell ref="E4:F4"/>
    <mergeCell ref="G4:G5"/>
    <mergeCell ref="H4:J4"/>
    <mergeCell ref="K4:K5"/>
  </mergeCells>
  <printOptions horizontalCentered="1"/>
  <pageMargins left="0.24" right="0.16" top="0.27" bottom="0.42" header="0.19" footer="0.18"/>
  <pageSetup paperSize="9" orientation="landscape" r:id="rId1"/>
  <headerFooter scaleWithDoc="0" alignWithMargins="0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Biểu 01</vt:lpstr>
      <vt:lpstr>Biểu 02</vt:lpstr>
      <vt:lpstr>'Biểu 01'!Print_Area</vt:lpstr>
      <vt:lpstr>'Biểu 01'!Print_Titles</vt:lpstr>
      <vt:lpstr>'Biểu 02'!Print_Titles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2019-05-29T09:08:49Z</dcterms:modified>
</cp:coreProperties>
</file>