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PC\Desktop\"/>
    </mc:Choice>
  </mc:AlternateContent>
  <bookViews>
    <workbookView xWindow="285" yWindow="75" windowWidth="13380" windowHeight="5310" tabRatio="790"/>
  </bookViews>
  <sheets>
    <sheet name="Ủy ban tổng hợp" sheetId="33" r:id="rId1"/>
  </sheets>
  <definedNames>
    <definedName name="_xlnm.Print_Titles" localSheetId="0">'Ủy ban tổng hợp'!$7:$8</definedName>
  </definedNames>
  <calcPr calcId="162913"/>
</workbook>
</file>

<file path=xl/calcChain.xml><?xml version="1.0" encoding="utf-8"?>
<calcChain xmlns="http://schemas.openxmlformats.org/spreadsheetml/2006/main">
  <c r="L107" i="33" l="1"/>
  <c r="K107" i="33"/>
  <c r="J107" i="33"/>
  <c r="I107" i="33"/>
  <c r="M107" i="33" s="1"/>
  <c r="J106" i="33"/>
  <c r="I106" i="33"/>
  <c r="M106" i="33" s="1"/>
  <c r="L105" i="33"/>
  <c r="K105" i="33"/>
  <c r="J105" i="33"/>
  <c r="I105" i="33"/>
  <c r="M105" i="33" s="1"/>
  <c r="J104" i="33"/>
  <c r="I104" i="33"/>
  <c r="M104" i="33" s="1"/>
  <c r="L102" i="33"/>
  <c r="K102" i="33"/>
  <c r="J102" i="33"/>
  <c r="I102" i="33"/>
  <c r="M102" i="33" s="1"/>
  <c r="J101" i="33"/>
  <c r="I101" i="33"/>
  <c r="M101" i="33" s="1"/>
  <c r="L100" i="33"/>
  <c r="K100" i="33"/>
  <c r="J100" i="33"/>
  <c r="I100" i="33"/>
  <c r="M100" i="33" s="1"/>
  <c r="J99" i="33"/>
  <c r="I99" i="33"/>
  <c r="M99" i="33" s="1"/>
  <c r="L98" i="33"/>
  <c r="J98" i="33"/>
  <c r="I98" i="33"/>
  <c r="M98" i="33" s="1"/>
  <c r="L96" i="33"/>
  <c r="K96" i="33"/>
  <c r="J96" i="33"/>
  <c r="I96" i="33"/>
  <c r="M96" i="33" s="1"/>
  <c r="K95" i="33"/>
  <c r="L95" i="33" s="1"/>
  <c r="J95" i="33"/>
  <c r="I95" i="33"/>
  <c r="L93" i="33"/>
  <c r="K93" i="33"/>
  <c r="J93" i="33"/>
  <c r="I93" i="33"/>
  <c r="M93" i="33" s="1"/>
  <c r="M91" i="33"/>
  <c r="L91" i="33"/>
  <c r="J91" i="33"/>
  <c r="I91" i="33"/>
  <c r="K90" i="33"/>
  <c r="L90" i="33" s="1"/>
  <c r="J90" i="33"/>
  <c r="I90" i="33"/>
  <c r="L89" i="33"/>
  <c r="K89" i="33"/>
  <c r="J89" i="33"/>
  <c r="I89" i="33"/>
  <c r="M89" i="33" s="1"/>
  <c r="K88" i="33"/>
  <c r="L88" i="33" s="1"/>
  <c r="J88" i="33"/>
  <c r="I88" i="33"/>
  <c r="M88" i="33" s="1"/>
  <c r="J86" i="33"/>
  <c r="I86" i="33"/>
  <c r="M86" i="33" s="1"/>
  <c r="J85" i="33"/>
  <c r="I85" i="33"/>
  <c r="M85" i="33" s="1"/>
  <c r="J84" i="33"/>
  <c r="M84" i="33" s="1"/>
  <c r="I84" i="33"/>
  <c r="M83" i="33"/>
  <c r="J83" i="33"/>
  <c r="I83" i="33"/>
  <c r="L82" i="33"/>
  <c r="K82" i="33"/>
  <c r="J82" i="33"/>
  <c r="I82" i="33"/>
  <c r="M82" i="33" s="1"/>
  <c r="K81" i="33"/>
  <c r="L81" i="33" s="1"/>
  <c r="J81" i="33"/>
  <c r="I81" i="33"/>
  <c r="M81" i="33" s="1"/>
  <c r="J80" i="33"/>
  <c r="M80" i="33" s="1"/>
  <c r="I80" i="33"/>
  <c r="K77" i="33"/>
  <c r="L77" i="33" s="1"/>
  <c r="J77" i="33"/>
  <c r="I77" i="33"/>
  <c r="M77" i="33" s="1"/>
  <c r="J76" i="33"/>
  <c r="I76" i="33"/>
  <c r="L75" i="33"/>
  <c r="M76" i="33" s="1"/>
  <c r="K75" i="33"/>
  <c r="J75" i="33"/>
  <c r="I75" i="33"/>
  <c r="M75" i="33" s="1"/>
  <c r="L74" i="33"/>
  <c r="K74" i="33"/>
  <c r="J74" i="33"/>
  <c r="I74" i="33"/>
  <c r="M74" i="33" s="1"/>
  <c r="K73" i="33"/>
  <c r="L73" i="33" s="1"/>
  <c r="J73" i="33"/>
  <c r="I73" i="33"/>
  <c r="J72" i="33"/>
  <c r="I72" i="33"/>
  <c r="M72" i="33" s="1"/>
  <c r="K71" i="33"/>
  <c r="L71" i="33" s="1"/>
  <c r="J71" i="33"/>
  <c r="I71" i="33"/>
  <c r="L69" i="33"/>
  <c r="K69" i="33"/>
  <c r="J69" i="33"/>
  <c r="I69" i="33"/>
  <c r="M69" i="33" s="1"/>
  <c r="L68" i="33"/>
  <c r="K68" i="33"/>
  <c r="J68" i="33"/>
  <c r="I68" i="33"/>
  <c r="M68" i="33" s="1"/>
  <c r="L67" i="33"/>
  <c r="K67" i="33"/>
  <c r="J67" i="33"/>
  <c r="I67" i="33"/>
  <c r="M67" i="33" s="1"/>
  <c r="J65" i="33"/>
  <c r="I65" i="33"/>
  <c r="M65" i="33" s="1"/>
  <c r="L64" i="33"/>
  <c r="K64" i="33"/>
  <c r="J64" i="33"/>
  <c r="I64" i="33"/>
  <c r="M64" i="33" s="1"/>
  <c r="J63" i="33"/>
  <c r="I63" i="33"/>
  <c r="M63" i="33" s="1"/>
  <c r="L62" i="33"/>
  <c r="K62" i="33"/>
  <c r="J62" i="33"/>
  <c r="I62" i="33"/>
  <c r="M62" i="33" s="1"/>
  <c r="K61" i="33"/>
  <c r="L61" i="33" s="1"/>
  <c r="J61" i="33"/>
  <c r="I61" i="33"/>
  <c r="L60" i="33"/>
  <c r="K60" i="33"/>
  <c r="J60" i="33"/>
  <c r="I60" i="33"/>
  <c r="M60" i="33" s="1"/>
  <c r="K59" i="33"/>
  <c r="L59" i="33" s="1"/>
  <c r="M59" i="33" s="1"/>
  <c r="J59" i="33"/>
  <c r="I59" i="33"/>
  <c r="L56" i="33"/>
  <c r="K56" i="33"/>
  <c r="J56" i="33"/>
  <c r="I56" i="33"/>
  <c r="M56" i="33" s="1"/>
  <c r="J55" i="33"/>
  <c r="I55" i="33"/>
  <c r="M55" i="33" s="1"/>
  <c r="L54" i="33"/>
  <c r="K54" i="33"/>
  <c r="J54" i="33"/>
  <c r="I54" i="33"/>
  <c r="M54" i="33" s="1"/>
  <c r="J53" i="33"/>
  <c r="I53" i="33"/>
  <c r="M53" i="33" s="1"/>
  <c r="J52" i="33"/>
  <c r="M52" i="33" s="1"/>
  <c r="I52" i="33"/>
  <c r="M51" i="33"/>
  <c r="J51" i="33"/>
  <c r="I51" i="33"/>
  <c r="L48" i="33"/>
  <c r="K48" i="33"/>
  <c r="J48" i="33"/>
  <c r="I48" i="33"/>
  <c r="M48" i="33" s="1"/>
  <c r="L47" i="33"/>
  <c r="K47" i="33"/>
  <c r="J47" i="33"/>
  <c r="I47" i="33"/>
  <c r="M47" i="33" s="1"/>
  <c r="J46" i="33"/>
  <c r="I46" i="33"/>
  <c r="M45" i="33"/>
  <c r="L45" i="33"/>
  <c r="M46" i="33" s="1"/>
  <c r="J45" i="33"/>
  <c r="I45" i="33"/>
  <c r="L44" i="33"/>
  <c r="K44" i="33"/>
  <c r="J44" i="33"/>
  <c r="I44" i="33"/>
  <c r="M44" i="33" s="1"/>
  <c r="L43" i="33"/>
  <c r="K43" i="33"/>
  <c r="J43" i="33"/>
  <c r="M43" i="33" s="1"/>
  <c r="L42" i="33"/>
  <c r="K42" i="33"/>
  <c r="J42" i="33"/>
  <c r="M42" i="33" s="1"/>
  <c r="M41" i="33"/>
  <c r="L41" i="33"/>
  <c r="J41" i="33"/>
  <c r="M40" i="33"/>
  <c r="L40" i="33"/>
  <c r="K40" i="33"/>
  <c r="J40" i="33"/>
  <c r="L39" i="33"/>
  <c r="K39" i="33"/>
  <c r="J39" i="33"/>
  <c r="I39" i="33"/>
  <c r="M39" i="33" s="1"/>
  <c r="J38" i="33"/>
  <c r="I38" i="33"/>
  <c r="L37" i="33"/>
  <c r="M38" i="33" s="1"/>
  <c r="K37" i="33"/>
  <c r="J37" i="33"/>
  <c r="I37" i="33"/>
  <c r="M37" i="33" s="1"/>
  <c r="L36" i="33"/>
  <c r="K36" i="33"/>
  <c r="J36" i="33"/>
  <c r="I36" i="33"/>
  <c r="M36" i="33" s="1"/>
  <c r="J35" i="33"/>
  <c r="I35" i="33"/>
  <c r="M35" i="33" s="1"/>
  <c r="L34" i="33"/>
  <c r="K34" i="33"/>
  <c r="J34" i="33"/>
  <c r="I34" i="33"/>
  <c r="M34" i="33" s="1"/>
  <c r="K33" i="33"/>
  <c r="L33" i="33" s="1"/>
  <c r="J33" i="33"/>
  <c r="I33" i="33"/>
  <c r="M33" i="33" s="1"/>
  <c r="J32" i="33"/>
  <c r="I32" i="33"/>
  <c r="M32" i="33" s="1"/>
  <c r="J31" i="33"/>
  <c r="I31" i="33"/>
  <c r="M31" i="33" s="1"/>
  <c r="L30" i="33"/>
  <c r="K30" i="33"/>
  <c r="J30" i="33"/>
  <c r="I30" i="33"/>
  <c r="M30" i="33" s="1"/>
  <c r="J29" i="33"/>
  <c r="I29" i="33"/>
  <c r="M29" i="33" s="1"/>
  <c r="L28" i="33"/>
  <c r="K28" i="33"/>
  <c r="J28" i="33"/>
  <c r="I28" i="33"/>
  <c r="M28" i="33" s="1"/>
  <c r="K27" i="33"/>
  <c r="L27" i="33" s="1"/>
  <c r="J27" i="33"/>
  <c r="I27" i="33"/>
  <c r="L26" i="33"/>
  <c r="K26" i="33"/>
  <c r="J26" i="33"/>
  <c r="I26" i="33"/>
  <c r="M26" i="33" s="1"/>
  <c r="M25" i="33"/>
  <c r="J25" i="33"/>
  <c r="I25" i="33"/>
  <c r="L24" i="33"/>
  <c r="K24" i="33"/>
  <c r="J24" i="33"/>
  <c r="I24" i="33"/>
  <c r="M24" i="33" s="1"/>
  <c r="M23" i="33"/>
  <c r="J23" i="33"/>
  <c r="I23" i="33"/>
  <c r="J22" i="33"/>
  <c r="I22" i="33"/>
  <c r="M22" i="33" s="1"/>
  <c r="J21" i="33"/>
  <c r="I21" i="33"/>
  <c r="M21" i="33" s="1"/>
  <c r="L20" i="33"/>
  <c r="K20" i="33"/>
  <c r="J20" i="33"/>
  <c r="I20" i="33"/>
  <c r="M20" i="33" s="1"/>
  <c r="K19" i="33"/>
  <c r="L19" i="33" s="1"/>
  <c r="J19" i="33"/>
  <c r="I19" i="33"/>
  <c r="J18" i="33"/>
  <c r="I18" i="33"/>
  <c r="M18" i="33" s="1"/>
  <c r="L17" i="33"/>
  <c r="J17" i="33"/>
  <c r="I17" i="33"/>
  <c r="M17" i="33" s="1"/>
  <c r="K16" i="33"/>
  <c r="L16" i="33" s="1"/>
  <c r="J16" i="33"/>
  <c r="I16" i="33"/>
  <c r="L15" i="33"/>
  <c r="J15" i="33"/>
  <c r="I15" i="33"/>
  <c r="M15" i="33" s="1"/>
  <c r="J14" i="33"/>
  <c r="I14" i="33"/>
  <c r="K13" i="33"/>
  <c r="L13" i="33" s="1"/>
  <c r="J13" i="33"/>
  <c r="I13" i="33"/>
  <c r="L12" i="33"/>
  <c r="K12" i="33"/>
  <c r="J12" i="33"/>
  <c r="I12" i="33"/>
  <c r="M12" i="33" s="1"/>
  <c r="K11" i="33"/>
  <c r="L11" i="33" s="1"/>
  <c r="J11" i="33"/>
  <c r="I11" i="33"/>
  <c r="L10" i="33"/>
  <c r="K10" i="33"/>
  <c r="J10" i="33"/>
  <c r="I10" i="33"/>
  <c r="M10" i="33" s="1"/>
  <c r="M14" i="33" l="1"/>
  <c r="M71" i="33"/>
  <c r="M13" i="33"/>
  <c r="M16" i="33"/>
  <c r="M19" i="33"/>
  <c r="M61" i="33"/>
  <c r="M73" i="33"/>
  <c r="M95" i="33"/>
  <c r="M11" i="33"/>
  <c r="M27" i="33"/>
  <c r="M90" i="33"/>
</calcChain>
</file>

<file path=xl/sharedStrings.xml><?xml version="1.0" encoding="utf-8"?>
<sst xmlns="http://schemas.openxmlformats.org/spreadsheetml/2006/main" count="523" uniqueCount="237">
  <si>
    <t>CỘNG HÒA XÃ HỘI CHỦ NGHĨA VIỆT NAM</t>
  </si>
  <si>
    <t>Độc lập - Tự do - Hạnh phúc</t>
  </si>
  <si>
    <t>TT</t>
  </si>
  <si>
    <t>Họ và tên</t>
  </si>
  <si>
    <t>Hộ khẩu
thường trú</t>
  </si>
  <si>
    <t>Trường
đào tạo</t>
  </si>
  <si>
    <t>Trình độ
chuyên môn</t>
  </si>
  <si>
    <t>Hình thức
đào tạo</t>
  </si>
  <si>
    <t>Châu Thị Ngọc Thủy</t>
  </si>
  <si>
    <t>Ngày sinh</t>
  </si>
  <si>
    <t>Đại học Ngoại Ngữ - Đại học Huế</t>
  </si>
  <si>
    <t>ĐH Sư phạm Tiếng Anh</t>
  </si>
  <si>
    <t>Chính quy</t>
  </si>
  <si>
    <t>Lê Thị Minh Thư</t>
  </si>
  <si>
    <t>Cao đẳng Sư phạm Thừa Thiên Huế</t>
  </si>
  <si>
    <t>Vừa làm vừa học</t>
  </si>
  <si>
    <t>Hồ Văn Két</t>
  </si>
  <si>
    <t>13/3/1995</t>
  </si>
  <si>
    <t>Dân tộc thiểu số</t>
  </si>
  <si>
    <t>Đinh Thị Ny</t>
  </si>
  <si>
    <t>Trung cấp Kinh tế - Du lịch Duy Tân</t>
  </si>
  <si>
    <t>TC Sư phạm Mầm non</t>
  </si>
  <si>
    <t>05/02/1992</t>
  </si>
  <si>
    <t>Trần Thị Tình</t>
  </si>
  <si>
    <t>25/10/1990</t>
  </si>
  <si>
    <t>Thượng Long, Nam Đông</t>
  </si>
  <si>
    <t>Trung cấp Âu Lạc - Huế</t>
  </si>
  <si>
    <t xml:space="preserve">Nam </t>
  </si>
  <si>
    <t>Nữ</t>
  </si>
  <si>
    <t>Hoàng Nữ Phương</t>
  </si>
  <si>
    <t>10/2/1992</t>
  </si>
  <si>
    <t>ĐH Tiếng Anh</t>
  </si>
  <si>
    <t>Phạm Văn Phế</t>
  </si>
  <si>
    <t>18/4/1987</t>
  </si>
  <si>
    <t>Đại học Sư phạm - Đại học Huế</t>
  </si>
  <si>
    <t>ĐH Sư phạm Sinh học</t>
  </si>
  <si>
    <t>Trần Lê Đông</t>
  </si>
  <si>
    <t>12/8/1992</t>
  </si>
  <si>
    <t>Cao đẳng Y tế Huế</t>
  </si>
  <si>
    <t>TC Y sĩ</t>
  </si>
  <si>
    <t>Hồ Thị Phan</t>
  </si>
  <si>
    <t>11/6/1988</t>
  </si>
  <si>
    <t xml:space="preserve">Hồ Thị Liếp </t>
  </si>
  <si>
    <t>12/4/1992</t>
  </si>
  <si>
    <t>Nguyễn Thị Thủy</t>
  </si>
  <si>
    <t>21/3/1994</t>
  </si>
  <si>
    <t>Phạm Thị Tơn</t>
  </si>
  <si>
    <t>09/6/1994</t>
  </si>
  <si>
    <t>ĐH Giáo dục Mầm non</t>
  </si>
  <si>
    <t>Trần Thị Bảo Yến</t>
  </si>
  <si>
    <t>24/9/1991</t>
  </si>
  <si>
    <t>Đại học Vinh</t>
  </si>
  <si>
    <t>Lương Thị Thương</t>
  </si>
  <si>
    <t>01/7/1985</t>
  </si>
  <si>
    <t>Trung tâm GDTX - Đại học Huế</t>
  </si>
  <si>
    <t>Học từ xa</t>
  </si>
  <si>
    <t>Con bệnh binh; Dân tộc thiểu số</t>
  </si>
  <si>
    <t>Hồ Thị Phương Thảo</t>
  </si>
  <si>
    <t>20/8/1994</t>
  </si>
  <si>
    <t>Trường Cao đẳng Sư phạm Thừa Thiên Huế</t>
  </si>
  <si>
    <t>TC Sư phạm mầm non</t>
  </si>
  <si>
    <t>Trần Thị Ngọc Diễm</t>
  </si>
  <si>
    <t>12/11/1995</t>
  </si>
  <si>
    <t>Hồ Thị Sữa</t>
  </si>
  <si>
    <t>12/4/1988</t>
  </si>
  <si>
    <t>TC Giáo dục Mầm non</t>
  </si>
  <si>
    <t>Võ Thị Mỹ Hảo</t>
  </si>
  <si>
    <t>06/9/1994</t>
  </si>
  <si>
    <t>Đại học Sư phạm Đà Nẵng</t>
  </si>
  <si>
    <t>ĐH Sư phạm Ngữ văn</t>
  </si>
  <si>
    <t>TC Sư phạm Giáo dục Mầm non</t>
  </si>
  <si>
    <t>Nguyễn Thị Thanh Nga</t>
  </si>
  <si>
    <t>29/10/1989</t>
  </si>
  <si>
    <t>CĐ Sư phạm Ngữ văn</t>
  </si>
  <si>
    <t>Nguyễn Thị Thanh Liên</t>
  </si>
  <si>
    <t>18/01/1993</t>
  </si>
  <si>
    <t>Đại học Khoa học - Đại học Huế</t>
  </si>
  <si>
    <t>ĐH Toán tối ưu</t>
  </si>
  <si>
    <t>Hồ Thị Trẻ</t>
  </si>
  <si>
    <t>06/12/1991</t>
  </si>
  <si>
    <t>Lê Thị Thùy Linh</t>
  </si>
  <si>
    <t>04/4/1991</t>
  </si>
  <si>
    <t>Cao đẳng Đức Trí</t>
  </si>
  <si>
    <t>CĐ Tài chính Ngân hàng</t>
  </si>
  <si>
    <t>Đại học Trà Vinh</t>
  </si>
  <si>
    <t>ĐH Kế toán</t>
  </si>
  <si>
    <t>Võ Thị Thu Thảo</t>
  </si>
  <si>
    <t>18/10/1993</t>
  </si>
  <si>
    <t xml:space="preserve">Đại học Sư phạm - Đại học Huế </t>
  </si>
  <si>
    <t>ĐH Sư phạm Toán học</t>
  </si>
  <si>
    <t>Nguyễn Hồng Báo</t>
  </si>
  <si>
    <t>20/6/1992</t>
  </si>
  <si>
    <t>Hồ Thị Ỏi</t>
  </si>
  <si>
    <t>06/3/1990</t>
  </si>
  <si>
    <t>Hồ Thị Giang</t>
  </si>
  <si>
    <t>08/4/1990</t>
  </si>
  <si>
    <t>Đại học Sư phạm - Đại học Đà Nẵng</t>
  </si>
  <si>
    <t>Bùi Thị Quỳnh Hương</t>
  </si>
  <si>
    <t>15/01/1993</t>
  </si>
  <si>
    <t>Hồ Thị Ngạt</t>
  </si>
  <si>
    <t>06/10/1987</t>
  </si>
  <si>
    <t>Hoàng Thị Đào</t>
  </si>
  <si>
    <t>12/10/1990</t>
  </si>
  <si>
    <t>Nguyễn Hoàng Xuân Anh</t>
  </si>
  <si>
    <t>13/9/1994</t>
  </si>
  <si>
    <t>Cao đẳng Nghề Đà Nẵng</t>
  </si>
  <si>
    <t>Phan Thị Hồng Hoa</t>
  </si>
  <si>
    <t>02/9/1992</t>
  </si>
  <si>
    <t>TC Thư viện - Thiết bị trường học</t>
  </si>
  <si>
    <t>Trần Thị Thanh Tâm</t>
  </si>
  <si>
    <t>14/10/1995</t>
  </si>
  <si>
    <t>Vũ Thị Hòa</t>
  </si>
  <si>
    <t>23/9/1989</t>
  </si>
  <si>
    <t>Cao đẳng Nông lâm Đông Bắc</t>
  </si>
  <si>
    <t>Trần Thị Nhâu</t>
  </si>
  <si>
    <t>30/6/1995</t>
  </si>
  <si>
    <t>Trần Thị Thùy Trâm</t>
  </si>
  <si>
    <t xml:space="preserve">Hồ Thị Đuốc </t>
  </si>
  <si>
    <t>17/12/1994</t>
  </si>
  <si>
    <t>CĐ Giáo dục Mầm non</t>
  </si>
  <si>
    <t>CĐ Kế toán</t>
  </si>
  <si>
    <t>CĐ nghề may thời trang</t>
  </si>
  <si>
    <t>TC Kế toán</t>
  </si>
  <si>
    <t>Cao Thị Thu Hảo</t>
  </si>
  <si>
    <t>09/02/1995</t>
  </si>
  <si>
    <t>Tà Rương Khoa</t>
  </si>
  <si>
    <t>08/9/1990</t>
  </si>
  <si>
    <t>Lê Thị Mỹ Hiếu</t>
  </si>
  <si>
    <t>11/9/1994</t>
  </si>
  <si>
    <t>ĐH Sư phạm Tin học</t>
  </si>
  <si>
    <t>Mai Thị Mỹ Linh</t>
  </si>
  <si>
    <t>15/02/1994</t>
  </si>
  <si>
    <t>Nguyễn Thị Trang</t>
  </si>
  <si>
    <t>10/10/1991</t>
  </si>
  <si>
    <t>Lê Thị Bông</t>
  </si>
  <si>
    <t>05/6/1987</t>
  </si>
  <si>
    <t>Trung tâm đào tạo từ xa - Đại học Huế</t>
  </si>
  <si>
    <t>Dương Thị Thảo</t>
  </si>
  <si>
    <t>29/9/1994</t>
  </si>
  <si>
    <t>ĐH Sư phạm Tiếng Anh bậc Tiểu học</t>
  </si>
  <si>
    <t xml:space="preserve">ĐH Sư phạm Tiếng Anh </t>
  </si>
  <si>
    <t>Nguyễn Thị Ánh Dương</t>
  </si>
  <si>
    <t>10/10/1994</t>
  </si>
  <si>
    <t>Châu Thị Hằng</t>
  </si>
  <si>
    <t>16/5/1996</t>
  </si>
  <si>
    <t>Nguyễn Thị Minh Hợi</t>
  </si>
  <si>
    <t>03/10/1989</t>
  </si>
  <si>
    <t>Trung tâm Đào tạo thường xuyên - Đại học Đà Nẵng</t>
  </si>
  <si>
    <t>Nguyễn Thị Xuân Mai</t>
  </si>
  <si>
    <t>Tại chức</t>
  </si>
  <si>
    <t>08/02/1982</t>
  </si>
  <si>
    <t>Hồ Thị Nết</t>
  </si>
  <si>
    <t>10/6/1976</t>
  </si>
  <si>
    <t>ĐH Sư phạm Mẫu giáo</t>
  </si>
  <si>
    <t>Hoàng Thị Thủy Hòa</t>
  </si>
  <si>
    <t>20/10/1987</t>
  </si>
  <si>
    <t>CĐ Thư viện - Thông tin</t>
  </si>
  <si>
    <t>Đại học Khoa học Xã hội và Nhân văn</t>
  </si>
  <si>
    <t>ĐH Thông tin - Thư viện</t>
  </si>
  <si>
    <t>Trương Thị Huyền Đông</t>
  </si>
  <si>
    <t>08/01/1994</t>
  </si>
  <si>
    <t>Nguyễn Thị Phượng</t>
  </si>
  <si>
    <t>12/10/1996</t>
  </si>
  <si>
    <t>CĐ Khoa học thư viện</t>
  </si>
  <si>
    <t>Nguyễn Thị Thảo</t>
  </si>
  <si>
    <t>20/7/1994</t>
  </si>
  <si>
    <t xml:space="preserve">ĐH Sư phạm Sinh học </t>
  </si>
  <si>
    <t xml:space="preserve">Hồ Thị Đay </t>
  </si>
  <si>
    <t>20/7/1991</t>
  </si>
  <si>
    <t>Võ Thị Tuấn Anh</t>
  </si>
  <si>
    <t>10/9/1993</t>
  </si>
  <si>
    <t>Lê Quốc Anh</t>
  </si>
  <si>
    <t>21/3/1992</t>
  </si>
  <si>
    <t>Bộ đội xuất ngũ</t>
  </si>
  <si>
    <t>Nguyễn Thị Kim Oanh</t>
  </si>
  <si>
    <t>24/6/1992</t>
  </si>
  <si>
    <t>Nguyễn Thị Thúy Hằng</t>
  </si>
  <si>
    <t>12/10/1992</t>
  </si>
  <si>
    <t>Phạm Thị Thùy Trang</t>
  </si>
  <si>
    <t>25/5/1990</t>
  </si>
  <si>
    <t>ĐH Văn học</t>
  </si>
  <si>
    <t>Võ Đại Quý</t>
  </si>
  <si>
    <t>18/9/1990</t>
  </si>
  <si>
    <t>ĐH Sư phạm Kỹ thuật Nông lâm</t>
  </si>
  <si>
    <t>ThS Lý luận và PP dạy học bộ môn Sinh học</t>
  </si>
  <si>
    <t>Nguyễn Thị Hoài Phương</t>
  </si>
  <si>
    <t>10/6/1997</t>
  </si>
  <si>
    <t>Trần Thị Thanh Thúy</t>
  </si>
  <si>
    <t>04/3/1983</t>
  </si>
  <si>
    <t>Diện 
ưu tiên</t>
  </si>
  <si>
    <t>Dân tộc thiểu số; con người được hưởng chính sách như thương binh</t>
  </si>
  <si>
    <t>Con người được hưởng chính sách như thương binh; Dân tộc thiểu số</t>
  </si>
  <si>
    <t>Con người hưởng chính sách như thương binh</t>
  </si>
  <si>
    <t>xã Hương Hữu, huyện Nam Đông</t>
  </si>
  <si>
    <t>xã Thượng Nhật, huyện Nam Đông</t>
  </si>
  <si>
    <t>xã Hương Phú, huyện Nam Đông</t>
  </si>
  <si>
    <t>xã Hương Sơn, huyện Nam Đông</t>
  </si>
  <si>
    <t>xã Thượng Long, huyện Nam Đông</t>
  </si>
  <si>
    <t>xã Thượng Quảng, huyện Nam Đông</t>
  </si>
  <si>
    <t>xã Hương Hòa, huyện Nam Đông</t>
  </si>
  <si>
    <t>xã Hương Giang, huyện Nam Đông</t>
  </si>
  <si>
    <t>xã Thượng Lộ, huyện Nam Đông</t>
  </si>
  <si>
    <t>thị trấn Khe Tre, huyện Nam Đông</t>
  </si>
  <si>
    <t>phường Trường An, TP Huế</t>
  </si>
  <si>
    <t>xã Hương Lộc, huyện Nam Đông</t>
  </si>
  <si>
    <t>Thị trấn Phú Lộc, huyện Phú Lộc</t>
  </si>
  <si>
    <t>Dân tộc thiểu số, Con bệnh binh</t>
  </si>
  <si>
    <t>Giáo viên Tiếng Anh (02 chỉ tiêu)</t>
  </si>
  <si>
    <t>Giáo viên Văn (02 chỉ tiêu)</t>
  </si>
  <si>
    <t>Giáo viên Toán (03 chỉ tiêu)</t>
  </si>
  <si>
    <t>Giáo viên Tiếng Anh (01 chỉ tiêu)</t>
  </si>
  <si>
    <t>Giáo viên Sinh (01 chỉ tiêu)</t>
  </si>
  <si>
    <t>Giáo viên Tin (01 chỉ tiêu)</t>
  </si>
  <si>
    <t>Tổng số chỉ tiêu tuyển dụng: 29 chỉ tiêu.</t>
  </si>
  <si>
    <t>I. GIÁO VIÊN MẦM NON HẠNG IV (11 chỉ tiêu)</t>
  </si>
  <si>
    <t>II. GIÁO VIÊN TIỂU HỌC HẠNG IV (02 chỉ tiêu)</t>
  </si>
  <si>
    <t>III. GIÁO VIÊN THCS HẠNG III (06 chỉ tiêu)</t>
  </si>
  <si>
    <t>IV. GIÁO VIÊN THPT HẠNG IV (02 chỉ tiêu)</t>
  </si>
  <si>
    <t>V. GIÁO VIÊN NGHỀ MAY (01 chỉ tiêu)</t>
  </si>
  <si>
    <t>VI. Y SĨ HẠNG IV (03 chỉ tiêu)</t>
  </si>
  <si>
    <t>VII. KẾ TOÁN (02 chỉ tiêu)</t>
  </si>
  <si>
    <t>VIII. THƯ VIỆN VIÊN HẠNG IV (02 chỉ tiêu)</t>
  </si>
  <si>
    <t>Vũ Thị Thảo</t>
  </si>
  <si>
    <t>Cao đẳng Kế toán</t>
  </si>
  <si>
    <t>Điểm kiểm tra, sát hạch</t>
  </si>
  <si>
    <t>Tổng điểm</t>
  </si>
  <si>
    <t>-</t>
  </si>
  <si>
    <t>Điểm TN x 10</t>
  </si>
  <si>
    <t>Điểm TBC
học tập x 10</t>
  </si>
  <si>
    <t>Điểm kiểm tra, sát hạch x 2</t>
  </si>
  <si>
    <t>Ghi chú</t>
  </si>
  <si>
    <t>Thí sinh không tham gia phỏng vấn kiểm tra, sát hạch</t>
  </si>
  <si>
    <t>Tổng số thí sinh trong danh sách: 62 thí sinh</t>
  </si>
  <si>
    <t>Tổng số thí sinh tham gia phỏng vấn: 54 thí sinh./.</t>
  </si>
  <si>
    <t>BẢNG TỔNG HỢP KẾT QUẢ XÉT TUYỂN VIÊN CHỨC CÁC ĐƠN VỊ SỰ NGHIỆP GIÁO DỤC NĂM 2017</t>
  </si>
  <si>
    <t>ỦY BAN NHÂN DÂN</t>
  </si>
  <si>
    <t>HUYỆN NAM ĐÔNG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</si>
</sst>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theme="1"/>
      <name val="Arial"/>
      <family val="2"/>
      <scheme val="minor"/>
    </font>
    <font>
      <b/>
      <sz val="13"/>
      <name val="Times New Roman"/>
      <family val="1"/>
    </font>
    <font>
      <b/>
      <sz val="12"/>
      <name val="Times New Roman"/>
      <family val="1"/>
      <charset val="163"/>
    </font>
    <font>
      <b/>
      <sz val="10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1" fillId="0" borderId="1" xfId="0" quotePrefix="1" applyNumberFormat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4" fontId="1" fillId="0" borderId="0" xfId="0" quotePrefix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Fill="1" applyBorder="1" applyAlignment="1">
      <alignment vertical="center"/>
    </xf>
    <xf numFmtId="164" fontId="1" fillId="0" borderId="1" xfId="0" quotePrefix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164" fontId="1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1" fillId="0" borderId="3" xfId="0" quotePrefix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3" xfId="0" quotePrefix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quotePrefix="1" applyNumberFormat="1" applyFont="1" applyBorder="1" applyAlignment="1">
      <alignment horizontal="center" vertical="center"/>
    </xf>
    <xf numFmtId="0" fontId="1" fillId="0" borderId="3" xfId="0" quotePrefix="1" applyFont="1" applyFill="1" applyBorder="1" applyAlignment="1">
      <alignment horizontal="center" vertical="center"/>
    </xf>
    <xf numFmtId="14" fontId="1" fillId="0" borderId="3" xfId="0" quotePrefix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justify" vertical="center" wrapText="1"/>
    </xf>
    <xf numFmtId="2" fontId="1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4" xfId="0" quotePrefix="1" applyNumberFormat="1" applyFont="1" applyBorder="1" applyAlignment="1">
      <alignment horizontal="center" vertical="center"/>
    </xf>
    <xf numFmtId="14" fontId="1" fillId="0" borderId="3" xfId="0" quotePrefix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quotePrefix="1" applyNumberFormat="1" applyFont="1" applyBorder="1" applyAlignment="1">
      <alignment horizontal="center" vertical="center"/>
    </xf>
    <xf numFmtId="0" fontId="1" fillId="0" borderId="4" xfId="0" quotePrefix="1" applyFont="1" applyFill="1" applyBorder="1" applyAlignment="1">
      <alignment horizontal="center" vertical="center"/>
    </xf>
    <xf numFmtId="0" fontId="1" fillId="0" borderId="3" xfId="0" quotePrefix="1" applyFont="1" applyFill="1" applyBorder="1" applyAlignment="1">
      <alignment horizontal="center" vertical="center"/>
    </xf>
    <xf numFmtId="14" fontId="1" fillId="0" borderId="4" xfId="0" quotePrefix="1" applyNumberFormat="1" applyFont="1" applyFill="1" applyBorder="1" applyAlignment="1">
      <alignment horizontal="center" vertical="center"/>
    </xf>
    <xf numFmtId="14" fontId="1" fillId="0" borderId="3" xfId="0" quotePrefix="1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/>
    </xf>
    <xf numFmtId="0" fontId="1" fillId="0" borderId="5" xfId="0" quotePrefix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4" fontId="1" fillId="0" borderId="5" xfId="0" quotePrefix="1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1273342</xdr:colOff>
      <xdr:row>2</xdr:row>
      <xdr:rowOff>18549</xdr:rowOff>
    </xdr:from>
    <xdr:to>
      <xdr:col>3</xdr:col>
      <xdr:colOff>20052</xdr:colOff>
      <xdr:row>2</xdr:row>
      <xdr:rowOff>18549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564105" y="429628"/>
          <a:ext cx="84221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210551</xdr:colOff>
      <xdr:row>2</xdr:row>
      <xdr:rowOff>48628</xdr:rowOff>
    </xdr:from>
    <xdr:to>
      <xdr:col>10</xdr:col>
      <xdr:colOff>842209</xdr:colOff>
      <xdr:row>2</xdr:row>
      <xdr:rowOff>48628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647446" y="459707"/>
          <a:ext cx="182478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abSelected="1" zoomScale="95" zoomScaleNormal="95" workbookViewId="0">
      <selection activeCell="E75" sqref="E75:E76"/>
    </sheetView>
  </sheetViews>
  <sheetFormatPr defaultRowHeight="12.75" x14ac:dyDescent="0.2"/>
  <cols>
    <col min="1" max="1" width="4.28515625" style="26" customWidth="1"/>
    <col min="2" max="2" width="22.42578125" style="26" customWidth="1"/>
    <col min="3" max="3" width="9" style="26" customWidth="1"/>
    <col min="4" max="4" width="9.5703125" style="26" customWidth="1"/>
    <col min="5" max="6" width="14.28515625" style="26" customWidth="1"/>
    <col min="7" max="7" width="12.140625" style="26" customWidth="1"/>
    <col min="8" max="8" width="10.42578125" style="26" customWidth="1"/>
    <col min="9" max="9" width="9.140625" style="26"/>
    <col min="10" max="10" width="8.7109375" style="26" customWidth="1"/>
    <col min="11" max="13" width="13.42578125" style="26" customWidth="1"/>
    <col min="14" max="14" width="11.85546875" style="26" customWidth="1"/>
    <col min="15" max="15" width="14.5703125" style="26" customWidth="1"/>
    <col min="16" max="16384" width="9.140625" style="26"/>
  </cols>
  <sheetData>
    <row r="1" spans="1:15" ht="15.75" x14ac:dyDescent="0.25">
      <c r="A1" s="111" t="s">
        <v>235</v>
      </c>
      <c r="B1" s="111"/>
      <c r="C1" s="111"/>
      <c r="D1" s="111"/>
      <c r="E1" s="111"/>
      <c r="F1" s="66" t="s">
        <v>0</v>
      </c>
      <c r="G1" s="66"/>
      <c r="H1" s="66"/>
      <c r="I1" s="66"/>
      <c r="J1" s="66"/>
      <c r="K1" s="66"/>
      <c r="L1" s="66"/>
      <c r="M1" s="66"/>
      <c r="N1" s="66"/>
    </row>
    <row r="2" spans="1:15" ht="16.5" x14ac:dyDescent="0.25">
      <c r="A2" s="66" t="s">
        <v>236</v>
      </c>
      <c r="B2" s="66"/>
      <c r="C2" s="66"/>
      <c r="D2" s="66"/>
      <c r="E2" s="66"/>
      <c r="F2" s="112" t="s">
        <v>1</v>
      </c>
      <c r="G2" s="112"/>
      <c r="H2" s="112"/>
      <c r="I2" s="112"/>
      <c r="J2" s="112"/>
      <c r="K2" s="112"/>
      <c r="L2" s="112"/>
      <c r="M2" s="112"/>
      <c r="N2" s="112"/>
    </row>
    <row r="3" spans="1:15" ht="15.75" x14ac:dyDescent="0.25">
      <c r="A3" s="3"/>
      <c r="B3" s="3"/>
      <c r="C3" s="3"/>
      <c r="D3" s="3"/>
      <c r="E3" s="1"/>
      <c r="F3" s="3"/>
      <c r="G3" s="3"/>
      <c r="H3" s="1"/>
      <c r="I3" s="1"/>
      <c r="J3" s="1"/>
      <c r="K3" s="1"/>
      <c r="L3" s="1"/>
      <c r="M3" s="1"/>
      <c r="N3" s="1"/>
    </row>
    <row r="4" spans="1:15" ht="9" customHeight="1" x14ac:dyDescent="0.25">
      <c r="A4" s="3"/>
      <c r="B4" s="3"/>
      <c r="C4" s="3"/>
      <c r="D4" s="3"/>
      <c r="E4" s="1"/>
      <c r="F4" s="3"/>
      <c r="G4" s="3"/>
      <c r="H4" s="1"/>
      <c r="I4" s="68"/>
      <c r="J4" s="68"/>
      <c r="K4" s="68"/>
      <c r="L4" s="68"/>
      <c r="M4" s="68"/>
      <c r="N4" s="68"/>
    </row>
    <row r="5" spans="1:15" ht="42" customHeight="1" x14ac:dyDescent="0.2">
      <c r="A5" s="69" t="s">
        <v>234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5" ht="25.5" customHeight="1" x14ac:dyDescent="0.2">
      <c r="A6" s="85" t="s">
        <v>213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5" ht="24.75" customHeight="1" x14ac:dyDescent="0.2">
      <c r="A7" s="67" t="s">
        <v>2</v>
      </c>
      <c r="B7" s="67" t="s">
        <v>3</v>
      </c>
      <c r="C7" s="67" t="s">
        <v>9</v>
      </c>
      <c r="D7" s="67"/>
      <c r="E7" s="65" t="s">
        <v>4</v>
      </c>
      <c r="F7" s="65" t="s">
        <v>5</v>
      </c>
      <c r="G7" s="65" t="s">
        <v>6</v>
      </c>
      <c r="H7" s="65" t="s">
        <v>7</v>
      </c>
      <c r="I7" s="65" t="s">
        <v>228</v>
      </c>
      <c r="J7" s="65" t="s">
        <v>227</v>
      </c>
      <c r="K7" s="109" t="s">
        <v>224</v>
      </c>
      <c r="L7" s="109" t="s">
        <v>229</v>
      </c>
      <c r="M7" s="109" t="s">
        <v>225</v>
      </c>
      <c r="N7" s="65" t="s">
        <v>189</v>
      </c>
      <c r="O7" s="99" t="s">
        <v>230</v>
      </c>
    </row>
    <row r="8" spans="1:15" ht="24.75" customHeight="1" x14ac:dyDescent="0.2">
      <c r="A8" s="108"/>
      <c r="B8" s="108"/>
      <c r="C8" s="53" t="s">
        <v>27</v>
      </c>
      <c r="D8" s="53" t="s">
        <v>28</v>
      </c>
      <c r="E8" s="109"/>
      <c r="F8" s="109"/>
      <c r="G8" s="109"/>
      <c r="H8" s="109"/>
      <c r="I8" s="109"/>
      <c r="J8" s="109"/>
      <c r="K8" s="110"/>
      <c r="L8" s="110"/>
      <c r="M8" s="110"/>
      <c r="N8" s="108"/>
      <c r="O8" s="99"/>
    </row>
    <row r="9" spans="1:15" ht="19.5" customHeight="1" x14ac:dyDescent="0.2">
      <c r="A9" s="91" t="s">
        <v>214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</row>
    <row r="10" spans="1:15" ht="43.5" customHeight="1" x14ac:dyDescent="0.2">
      <c r="A10" s="37">
        <v>1</v>
      </c>
      <c r="B10" s="38" t="s">
        <v>90</v>
      </c>
      <c r="C10" s="39"/>
      <c r="D10" s="42" t="s">
        <v>91</v>
      </c>
      <c r="E10" s="41" t="s">
        <v>193</v>
      </c>
      <c r="F10" s="41" t="s">
        <v>34</v>
      </c>
      <c r="G10" s="41" t="s">
        <v>48</v>
      </c>
      <c r="H10" s="41" t="s">
        <v>12</v>
      </c>
      <c r="I10" s="30">
        <f>7.26*10</f>
        <v>72.599999999999994</v>
      </c>
      <c r="J10" s="37">
        <f>7.26*10</f>
        <v>72.599999999999994</v>
      </c>
      <c r="K10" s="37">
        <f>(85+85)/2</f>
        <v>85</v>
      </c>
      <c r="L10" s="37">
        <f>K10*2</f>
        <v>170</v>
      </c>
      <c r="M10" s="37">
        <f>I10+J10+L10</f>
        <v>315.2</v>
      </c>
      <c r="N10" s="41" t="s">
        <v>18</v>
      </c>
      <c r="O10" s="28"/>
    </row>
    <row r="11" spans="1:15" ht="43.5" customHeight="1" x14ac:dyDescent="0.2">
      <c r="A11" s="44">
        <v>2</v>
      </c>
      <c r="B11" s="45" t="s">
        <v>134</v>
      </c>
      <c r="C11" s="46"/>
      <c r="D11" s="47" t="s">
        <v>135</v>
      </c>
      <c r="E11" s="43" t="s">
        <v>194</v>
      </c>
      <c r="F11" s="43" t="s">
        <v>136</v>
      </c>
      <c r="G11" s="43" t="s">
        <v>48</v>
      </c>
      <c r="H11" s="43" t="s">
        <v>55</v>
      </c>
      <c r="I11" s="44">
        <f>6.35*10</f>
        <v>63.5</v>
      </c>
      <c r="J11" s="44">
        <f>7*10</f>
        <v>70</v>
      </c>
      <c r="K11" s="44">
        <f>(55+50)/2</f>
        <v>52.5</v>
      </c>
      <c r="L11" s="44">
        <f t="shared" ref="L11:L12" si="0">K11*2</f>
        <v>105</v>
      </c>
      <c r="M11" s="44">
        <f t="shared" ref="M11:M12" si="1">I11+J11+L11</f>
        <v>238.5</v>
      </c>
      <c r="N11" s="43" t="s">
        <v>18</v>
      </c>
      <c r="O11" s="28"/>
    </row>
    <row r="12" spans="1:15" ht="43.5" customHeight="1" x14ac:dyDescent="0.2">
      <c r="A12" s="44">
        <v>3</v>
      </c>
      <c r="B12" s="45" t="s">
        <v>61</v>
      </c>
      <c r="C12" s="45"/>
      <c r="D12" s="47" t="s">
        <v>62</v>
      </c>
      <c r="E12" s="43" t="s">
        <v>195</v>
      </c>
      <c r="F12" s="43" t="s">
        <v>14</v>
      </c>
      <c r="G12" s="43" t="s">
        <v>21</v>
      </c>
      <c r="H12" s="43" t="s">
        <v>12</v>
      </c>
      <c r="I12" s="44">
        <f>7.8*10</f>
        <v>78</v>
      </c>
      <c r="J12" s="44">
        <f>6.8*10</f>
        <v>68</v>
      </c>
      <c r="K12" s="44">
        <f>(60+60)/2</f>
        <v>60</v>
      </c>
      <c r="L12" s="44">
        <f t="shared" si="0"/>
        <v>120</v>
      </c>
      <c r="M12" s="44">
        <f t="shared" si="1"/>
        <v>266</v>
      </c>
      <c r="N12" s="44"/>
      <c r="O12" s="28"/>
    </row>
    <row r="13" spans="1:15" ht="33.75" customHeight="1" x14ac:dyDescent="0.2">
      <c r="A13" s="55">
        <v>4</v>
      </c>
      <c r="B13" s="57" t="s">
        <v>101</v>
      </c>
      <c r="C13" s="59"/>
      <c r="D13" s="63" t="s">
        <v>102</v>
      </c>
      <c r="E13" s="61" t="s">
        <v>196</v>
      </c>
      <c r="F13" s="61" t="s">
        <v>96</v>
      </c>
      <c r="G13" s="43" t="s">
        <v>65</v>
      </c>
      <c r="H13" s="43" t="s">
        <v>15</v>
      </c>
      <c r="I13" s="44">
        <f>7.5*10</f>
        <v>75</v>
      </c>
      <c r="J13" s="44">
        <f>7*10</f>
        <v>70</v>
      </c>
      <c r="K13" s="55">
        <f>(20+15)/2</f>
        <v>17.5</v>
      </c>
      <c r="L13" s="55">
        <f>K13*2</f>
        <v>35</v>
      </c>
      <c r="M13" s="44">
        <f>I13+J13+L13</f>
        <v>180</v>
      </c>
      <c r="N13" s="61" t="s">
        <v>18</v>
      </c>
      <c r="O13" s="93"/>
    </row>
    <row r="14" spans="1:15" ht="30.75" customHeight="1" x14ac:dyDescent="0.2">
      <c r="A14" s="56"/>
      <c r="B14" s="58"/>
      <c r="C14" s="60"/>
      <c r="D14" s="64"/>
      <c r="E14" s="62"/>
      <c r="F14" s="62"/>
      <c r="G14" s="43" t="s">
        <v>48</v>
      </c>
      <c r="H14" s="43" t="s">
        <v>15</v>
      </c>
      <c r="I14" s="13">
        <f>7.21*10</f>
        <v>72.099999999999994</v>
      </c>
      <c r="J14" s="44">
        <f>7.21*10</f>
        <v>72.099999999999994</v>
      </c>
      <c r="K14" s="56"/>
      <c r="L14" s="56"/>
      <c r="M14" s="44">
        <f>I14+J14+L13</f>
        <v>179.2</v>
      </c>
      <c r="N14" s="62"/>
      <c r="O14" s="94"/>
    </row>
    <row r="15" spans="1:15" ht="40.5" customHeight="1" x14ac:dyDescent="0.2">
      <c r="A15" s="44">
        <v>5</v>
      </c>
      <c r="B15" s="45" t="s">
        <v>167</v>
      </c>
      <c r="C15" s="46"/>
      <c r="D15" s="47" t="s">
        <v>168</v>
      </c>
      <c r="E15" s="43" t="s">
        <v>197</v>
      </c>
      <c r="F15" s="43" t="s">
        <v>26</v>
      </c>
      <c r="G15" s="43" t="s">
        <v>21</v>
      </c>
      <c r="H15" s="43" t="s">
        <v>12</v>
      </c>
      <c r="I15" s="14">
        <f>7*10</f>
        <v>70</v>
      </c>
      <c r="J15" s="44">
        <f>5.7*10</f>
        <v>57</v>
      </c>
      <c r="K15" s="44">
        <v>20</v>
      </c>
      <c r="L15" s="44">
        <f>K15*2</f>
        <v>40</v>
      </c>
      <c r="M15" s="14">
        <f>I15+J15+L15</f>
        <v>167</v>
      </c>
      <c r="N15" s="43" t="s">
        <v>18</v>
      </c>
      <c r="O15" s="28"/>
    </row>
    <row r="16" spans="1:15" ht="40.5" customHeight="1" x14ac:dyDescent="0.2">
      <c r="A16" s="44">
        <v>6</v>
      </c>
      <c r="B16" s="45" t="s">
        <v>117</v>
      </c>
      <c r="C16" s="46"/>
      <c r="D16" s="47" t="s">
        <v>118</v>
      </c>
      <c r="E16" s="43" t="s">
        <v>198</v>
      </c>
      <c r="F16" s="43" t="s">
        <v>14</v>
      </c>
      <c r="G16" s="43" t="s">
        <v>119</v>
      </c>
      <c r="H16" s="43" t="s">
        <v>12</v>
      </c>
      <c r="I16" s="44">
        <f>7.64*10</f>
        <v>76.399999999999991</v>
      </c>
      <c r="J16" s="44">
        <f>7.64*10</f>
        <v>76.399999999999991</v>
      </c>
      <c r="K16" s="44">
        <f>(25+30)/2</f>
        <v>27.5</v>
      </c>
      <c r="L16" s="44">
        <f>K16*2</f>
        <v>55</v>
      </c>
      <c r="M16" s="44">
        <f>I16+J16+L16</f>
        <v>207.79999999999998</v>
      </c>
      <c r="N16" s="43" t="s">
        <v>18</v>
      </c>
      <c r="O16" s="28"/>
    </row>
    <row r="17" spans="1:15" ht="39.75" customHeight="1" x14ac:dyDescent="0.2">
      <c r="A17" s="55">
        <v>7</v>
      </c>
      <c r="B17" s="57" t="s">
        <v>94</v>
      </c>
      <c r="C17" s="59"/>
      <c r="D17" s="63" t="s">
        <v>95</v>
      </c>
      <c r="E17" s="61" t="s">
        <v>196</v>
      </c>
      <c r="F17" s="43" t="s">
        <v>20</v>
      </c>
      <c r="G17" s="43" t="s">
        <v>21</v>
      </c>
      <c r="H17" s="43" t="s">
        <v>12</v>
      </c>
      <c r="I17" s="44">
        <f>7.5*10</f>
        <v>75</v>
      </c>
      <c r="J17" s="44">
        <f>8*10</f>
        <v>80</v>
      </c>
      <c r="K17" s="55">
        <v>50</v>
      </c>
      <c r="L17" s="55">
        <f>K17*2</f>
        <v>100</v>
      </c>
      <c r="M17" s="44">
        <f>I17+J17+L17</f>
        <v>255</v>
      </c>
      <c r="N17" s="61" t="s">
        <v>190</v>
      </c>
      <c r="O17" s="93"/>
    </row>
    <row r="18" spans="1:15" ht="42" customHeight="1" x14ac:dyDescent="0.2">
      <c r="A18" s="56"/>
      <c r="B18" s="58"/>
      <c r="C18" s="60"/>
      <c r="D18" s="64"/>
      <c r="E18" s="62"/>
      <c r="F18" s="43" t="s">
        <v>14</v>
      </c>
      <c r="G18" s="43" t="s">
        <v>119</v>
      </c>
      <c r="H18" s="43" t="s">
        <v>15</v>
      </c>
      <c r="I18" s="13">
        <f>7.53*10</f>
        <v>75.3</v>
      </c>
      <c r="J18" s="44">
        <f>7.53*10</f>
        <v>75.3</v>
      </c>
      <c r="K18" s="56"/>
      <c r="L18" s="56"/>
      <c r="M18" s="44">
        <f>I18+J18+L17</f>
        <v>250.6</v>
      </c>
      <c r="N18" s="62"/>
      <c r="O18" s="94"/>
    </row>
    <row r="19" spans="1:15" ht="41.25" customHeight="1" x14ac:dyDescent="0.2">
      <c r="A19" s="44">
        <v>8</v>
      </c>
      <c r="B19" s="45" t="s">
        <v>143</v>
      </c>
      <c r="C19" s="46"/>
      <c r="D19" s="47" t="s">
        <v>144</v>
      </c>
      <c r="E19" s="43" t="s">
        <v>199</v>
      </c>
      <c r="F19" s="43" t="s">
        <v>26</v>
      </c>
      <c r="G19" s="43" t="s">
        <v>21</v>
      </c>
      <c r="H19" s="43" t="s">
        <v>12</v>
      </c>
      <c r="I19" s="14">
        <f>7*10</f>
        <v>70</v>
      </c>
      <c r="J19" s="44">
        <f>5.5*10</f>
        <v>55</v>
      </c>
      <c r="K19" s="44">
        <f>(20+25)/2</f>
        <v>22.5</v>
      </c>
      <c r="L19" s="44">
        <f>K19*2</f>
        <v>45</v>
      </c>
      <c r="M19" s="14">
        <f>I19+J19+L19</f>
        <v>170</v>
      </c>
      <c r="N19" s="43"/>
      <c r="O19" s="28"/>
    </row>
    <row r="20" spans="1:15" ht="43.5" customHeight="1" x14ac:dyDescent="0.2">
      <c r="A20" s="55">
        <v>9</v>
      </c>
      <c r="B20" s="57" t="s">
        <v>145</v>
      </c>
      <c r="C20" s="59"/>
      <c r="D20" s="63" t="s">
        <v>146</v>
      </c>
      <c r="E20" s="61" t="s">
        <v>193</v>
      </c>
      <c r="F20" s="43" t="s">
        <v>96</v>
      </c>
      <c r="G20" s="43" t="s">
        <v>65</v>
      </c>
      <c r="H20" s="43" t="s">
        <v>15</v>
      </c>
      <c r="I20" s="14">
        <f>7*10</f>
        <v>70</v>
      </c>
      <c r="J20" s="44">
        <f>6.7*10</f>
        <v>67</v>
      </c>
      <c r="K20" s="55">
        <f>(50+55)/2</f>
        <v>52.5</v>
      </c>
      <c r="L20" s="55">
        <f>K20*2</f>
        <v>105</v>
      </c>
      <c r="M20" s="14">
        <f>I20+J20+L20</f>
        <v>242</v>
      </c>
      <c r="N20" s="61" t="s">
        <v>18</v>
      </c>
      <c r="O20" s="93"/>
    </row>
    <row r="21" spans="1:15" ht="54" customHeight="1" x14ac:dyDescent="0.2">
      <c r="A21" s="56"/>
      <c r="B21" s="58"/>
      <c r="C21" s="60"/>
      <c r="D21" s="64"/>
      <c r="E21" s="62"/>
      <c r="F21" s="43" t="s">
        <v>147</v>
      </c>
      <c r="G21" s="43" t="s">
        <v>48</v>
      </c>
      <c r="H21" s="43" t="s">
        <v>55</v>
      </c>
      <c r="I21" s="10">
        <f>6.33*10</f>
        <v>63.3</v>
      </c>
      <c r="J21" s="44">
        <f>6.33*10</f>
        <v>63.3</v>
      </c>
      <c r="K21" s="56"/>
      <c r="L21" s="56"/>
      <c r="M21" s="10">
        <f>I21+J21+L20</f>
        <v>231.6</v>
      </c>
      <c r="N21" s="62"/>
      <c r="O21" s="94"/>
    </row>
    <row r="22" spans="1:15" ht="43.5" customHeight="1" x14ac:dyDescent="0.2">
      <c r="A22" s="55">
        <v>10</v>
      </c>
      <c r="B22" s="57" t="s">
        <v>148</v>
      </c>
      <c r="C22" s="59"/>
      <c r="D22" s="63" t="s">
        <v>150</v>
      </c>
      <c r="E22" s="61" t="s">
        <v>200</v>
      </c>
      <c r="F22" s="43" t="s">
        <v>14</v>
      </c>
      <c r="G22" s="43" t="s">
        <v>65</v>
      </c>
      <c r="H22" s="43" t="s">
        <v>149</v>
      </c>
      <c r="I22" s="14">
        <f>6.5*10</f>
        <v>65</v>
      </c>
      <c r="J22" s="44">
        <f>6.8*10</f>
        <v>68</v>
      </c>
      <c r="K22" s="55" t="s">
        <v>226</v>
      </c>
      <c r="L22" s="55" t="s">
        <v>226</v>
      </c>
      <c r="M22" s="14">
        <f>I22+J22</f>
        <v>133</v>
      </c>
      <c r="N22" s="61"/>
      <c r="O22" s="100" t="s">
        <v>231</v>
      </c>
    </row>
    <row r="23" spans="1:15" ht="54" customHeight="1" x14ac:dyDescent="0.2">
      <c r="A23" s="56"/>
      <c r="B23" s="58"/>
      <c r="C23" s="60"/>
      <c r="D23" s="64"/>
      <c r="E23" s="62"/>
      <c r="F23" s="43" t="s">
        <v>147</v>
      </c>
      <c r="G23" s="43" t="s">
        <v>119</v>
      </c>
      <c r="H23" s="43" t="s">
        <v>55</v>
      </c>
      <c r="I23" s="10">
        <f>6.57*10</f>
        <v>65.7</v>
      </c>
      <c r="J23" s="44">
        <f>6.57*10</f>
        <v>65.7</v>
      </c>
      <c r="K23" s="56"/>
      <c r="L23" s="56"/>
      <c r="M23" s="10">
        <f>I23+J23+0</f>
        <v>131.4</v>
      </c>
      <c r="N23" s="62"/>
      <c r="O23" s="101"/>
    </row>
    <row r="24" spans="1:15" ht="43.5" customHeight="1" x14ac:dyDescent="0.2">
      <c r="A24" s="55">
        <v>11</v>
      </c>
      <c r="B24" s="57" t="s">
        <v>151</v>
      </c>
      <c r="C24" s="59"/>
      <c r="D24" s="63" t="s">
        <v>152</v>
      </c>
      <c r="E24" s="61" t="s">
        <v>196</v>
      </c>
      <c r="F24" s="43" t="s">
        <v>96</v>
      </c>
      <c r="G24" s="43" t="s">
        <v>70</v>
      </c>
      <c r="H24" s="43" t="s">
        <v>149</v>
      </c>
      <c r="I24" s="14">
        <f>6.6*10</f>
        <v>66</v>
      </c>
      <c r="J24" s="44">
        <f>6.3*10</f>
        <v>63</v>
      </c>
      <c r="K24" s="55">
        <f>(15+20)/2</f>
        <v>17.5</v>
      </c>
      <c r="L24" s="55">
        <f>K24*2</f>
        <v>35</v>
      </c>
      <c r="M24" s="14">
        <f>I24+J24+L24</f>
        <v>164</v>
      </c>
      <c r="N24" s="61" t="s">
        <v>18</v>
      </c>
      <c r="O24" s="93"/>
    </row>
    <row r="25" spans="1:15" ht="43.5" customHeight="1" x14ac:dyDescent="0.2">
      <c r="A25" s="56"/>
      <c r="B25" s="58"/>
      <c r="C25" s="60"/>
      <c r="D25" s="64"/>
      <c r="E25" s="62"/>
      <c r="F25" s="43" t="s">
        <v>136</v>
      </c>
      <c r="G25" s="43" t="s">
        <v>153</v>
      </c>
      <c r="H25" s="43" t="s">
        <v>55</v>
      </c>
      <c r="I25" s="14">
        <f>6.1*10</f>
        <v>61</v>
      </c>
      <c r="J25" s="44">
        <f>6.25*10</f>
        <v>62.5</v>
      </c>
      <c r="K25" s="56"/>
      <c r="L25" s="56"/>
      <c r="M25" s="14">
        <f>I25+J25+L24</f>
        <v>158.5</v>
      </c>
      <c r="N25" s="62"/>
      <c r="O25" s="94"/>
    </row>
    <row r="26" spans="1:15" ht="42" customHeight="1" x14ac:dyDescent="0.2">
      <c r="A26" s="44">
        <v>12</v>
      </c>
      <c r="B26" s="45" t="s">
        <v>114</v>
      </c>
      <c r="C26" s="46"/>
      <c r="D26" s="4" t="s">
        <v>115</v>
      </c>
      <c r="E26" s="43" t="s">
        <v>201</v>
      </c>
      <c r="F26" s="43" t="s">
        <v>26</v>
      </c>
      <c r="G26" s="43" t="s">
        <v>21</v>
      </c>
      <c r="H26" s="43" t="s">
        <v>12</v>
      </c>
      <c r="I26" s="13">
        <f>6.8*10</f>
        <v>68</v>
      </c>
      <c r="J26" s="44">
        <f>5*10</f>
        <v>50</v>
      </c>
      <c r="K26" s="44">
        <f>(50+55)/2</f>
        <v>52.5</v>
      </c>
      <c r="L26" s="44">
        <f>K26*2</f>
        <v>105</v>
      </c>
      <c r="M26" s="44">
        <f>I26+J26+L26</f>
        <v>223</v>
      </c>
      <c r="N26" s="43" t="s">
        <v>18</v>
      </c>
      <c r="O26" s="28"/>
    </row>
    <row r="27" spans="1:15" ht="43.5" customHeight="1" x14ac:dyDescent="0.2">
      <c r="A27" s="44">
        <v>13</v>
      </c>
      <c r="B27" s="45" t="s">
        <v>19</v>
      </c>
      <c r="C27" s="24"/>
      <c r="D27" s="47" t="s">
        <v>22</v>
      </c>
      <c r="E27" s="43" t="s">
        <v>198</v>
      </c>
      <c r="F27" s="43" t="s">
        <v>20</v>
      </c>
      <c r="G27" s="43" t="s">
        <v>21</v>
      </c>
      <c r="H27" s="43" t="s">
        <v>12</v>
      </c>
      <c r="I27" s="44">
        <f>7.1*10</f>
        <v>71</v>
      </c>
      <c r="J27" s="44">
        <f>6.8*10</f>
        <v>68</v>
      </c>
      <c r="K27" s="44">
        <f>(35+40)/2</f>
        <v>37.5</v>
      </c>
      <c r="L27" s="44">
        <f>K27*2</f>
        <v>75</v>
      </c>
      <c r="M27" s="44">
        <f>I27+J27+L27</f>
        <v>214</v>
      </c>
      <c r="N27" s="44"/>
      <c r="O27" s="28"/>
    </row>
    <row r="28" spans="1:15" ht="41.25" customHeight="1" x14ac:dyDescent="0.2">
      <c r="A28" s="72">
        <v>14</v>
      </c>
      <c r="B28" s="73" t="s">
        <v>174</v>
      </c>
      <c r="C28" s="74"/>
      <c r="D28" s="75" t="s">
        <v>175</v>
      </c>
      <c r="E28" s="71" t="s">
        <v>195</v>
      </c>
      <c r="F28" s="43" t="s">
        <v>14</v>
      </c>
      <c r="G28" s="43" t="s">
        <v>21</v>
      </c>
      <c r="H28" s="43" t="s">
        <v>12</v>
      </c>
      <c r="I28" s="14">
        <f>7.8*10</f>
        <v>78</v>
      </c>
      <c r="J28" s="44">
        <f>7.3*10</f>
        <v>73</v>
      </c>
      <c r="K28" s="55">
        <f>(30+40)/2</f>
        <v>35</v>
      </c>
      <c r="L28" s="55">
        <f>K28*2</f>
        <v>70</v>
      </c>
      <c r="M28" s="14">
        <f>I28+J28+L28</f>
        <v>221</v>
      </c>
      <c r="N28" s="71"/>
      <c r="O28" s="93"/>
    </row>
    <row r="29" spans="1:15" ht="57" customHeight="1" x14ac:dyDescent="0.2">
      <c r="A29" s="72"/>
      <c r="B29" s="73"/>
      <c r="C29" s="74"/>
      <c r="D29" s="75"/>
      <c r="E29" s="71"/>
      <c r="F29" s="43" t="s">
        <v>147</v>
      </c>
      <c r="G29" s="43" t="s">
        <v>48</v>
      </c>
      <c r="H29" s="43" t="s">
        <v>55</v>
      </c>
      <c r="I29" s="10">
        <f>7.28*10</f>
        <v>72.8</v>
      </c>
      <c r="J29" s="44">
        <f>7.28*10</f>
        <v>72.8</v>
      </c>
      <c r="K29" s="56"/>
      <c r="L29" s="56"/>
      <c r="M29" s="10">
        <f>I29+J29+L28</f>
        <v>215.6</v>
      </c>
      <c r="N29" s="71"/>
      <c r="O29" s="94"/>
    </row>
    <row r="30" spans="1:15" ht="47.25" customHeight="1" x14ac:dyDescent="0.2">
      <c r="A30" s="55">
        <v>15</v>
      </c>
      <c r="B30" s="57" t="s">
        <v>92</v>
      </c>
      <c r="C30" s="59"/>
      <c r="D30" s="63" t="s">
        <v>93</v>
      </c>
      <c r="E30" s="61" t="s">
        <v>197</v>
      </c>
      <c r="F30" s="61" t="s">
        <v>96</v>
      </c>
      <c r="G30" s="43" t="s">
        <v>65</v>
      </c>
      <c r="H30" s="43" t="s">
        <v>15</v>
      </c>
      <c r="I30" s="13">
        <f>7.3*10</f>
        <v>73</v>
      </c>
      <c r="J30" s="44">
        <f>6*10</f>
        <v>60</v>
      </c>
      <c r="K30" s="55">
        <f>(15+20)/2</f>
        <v>17.5</v>
      </c>
      <c r="L30" s="55">
        <f>K30*2</f>
        <v>35</v>
      </c>
      <c r="M30" s="44">
        <f>I30+J30+L30</f>
        <v>168</v>
      </c>
      <c r="N30" s="61" t="s">
        <v>18</v>
      </c>
      <c r="O30" s="93"/>
    </row>
    <row r="31" spans="1:15" ht="38.25" customHeight="1" x14ac:dyDescent="0.2">
      <c r="A31" s="56"/>
      <c r="B31" s="58"/>
      <c r="C31" s="60"/>
      <c r="D31" s="64"/>
      <c r="E31" s="62"/>
      <c r="F31" s="62"/>
      <c r="G31" s="43" t="s">
        <v>48</v>
      </c>
      <c r="H31" s="43" t="s">
        <v>15</v>
      </c>
      <c r="I31" s="13">
        <f>7.35*10</f>
        <v>73.5</v>
      </c>
      <c r="J31" s="44">
        <f>7.35*10</f>
        <v>73.5</v>
      </c>
      <c r="K31" s="56"/>
      <c r="L31" s="56"/>
      <c r="M31" s="44">
        <f>I31+J31+L30</f>
        <v>182</v>
      </c>
      <c r="N31" s="62"/>
      <c r="O31" s="94"/>
    </row>
    <row r="32" spans="1:15" ht="52.5" customHeight="1" x14ac:dyDescent="0.2">
      <c r="A32" s="44">
        <v>16</v>
      </c>
      <c r="B32" s="45" t="s">
        <v>40</v>
      </c>
      <c r="C32" s="45"/>
      <c r="D32" s="47" t="s">
        <v>41</v>
      </c>
      <c r="E32" s="43" t="s">
        <v>194</v>
      </c>
      <c r="F32" s="43" t="s">
        <v>20</v>
      </c>
      <c r="G32" s="43" t="s">
        <v>21</v>
      </c>
      <c r="H32" s="43" t="s">
        <v>12</v>
      </c>
      <c r="I32" s="44">
        <f>6.9*10</f>
        <v>69</v>
      </c>
      <c r="J32" s="44">
        <f>6.3*10</f>
        <v>63</v>
      </c>
      <c r="K32" s="44" t="s">
        <v>226</v>
      </c>
      <c r="L32" s="44" t="s">
        <v>226</v>
      </c>
      <c r="M32" s="44">
        <f>I32+J32</f>
        <v>132</v>
      </c>
      <c r="N32" s="43" t="s">
        <v>18</v>
      </c>
      <c r="O32" s="51" t="s">
        <v>231</v>
      </c>
    </row>
    <row r="33" spans="1:15" ht="43.5" customHeight="1" x14ac:dyDescent="0.2">
      <c r="A33" s="44">
        <v>17</v>
      </c>
      <c r="B33" s="45" t="s">
        <v>185</v>
      </c>
      <c r="C33" s="46"/>
      <c r="D33" s="47" t="s">
        <v>186</v>
      </c>
      <c r="E33" s="43" t="s">
        <v>195</v>
      </c>
      <c r="F33" s="43" t="s">
        <v>14</v>
      </c>
      <c r="G33" s="43" t="s">
        <v>21</v>
      </c>
      <c r="H33" s="43" t="s">
        <v>12</v>
      </c>
      <c r="I33" s="14">
        <f>7.6*10</f>
        <v>76</v>
      </c>
      <c r="J33" s="44">
        <f>7.3*10</f>
        <v>73</v>
      </c>
      <c r="K33" s="44">
        <f>(15+20)/2</f>
        <v>17.5</v>
      </c>
      <c r="L33" s="44">
        <f>K33*2</f>
        <v>35</v>
      </c>
      <c r="M33" s="14">
        <f>I33+J33+L33</f>
        <v>184</v>
      </c>
      <c r="N33" s="43"/>
      <c r="O33" s="28"/>
    </row>
    <row r="34" spans="1:15" ht="43.5" customHeight="1" x14ac:dyDescent="0.2">
      <c r="A34" s="55">
        <v>18</v>
      </c>
      <c r="B34" s="57" t="s">
        <v>63</v>
      </c>
      <c r="C34" s="59"/>
      <c r="D34" s="63" t="s">
        <v>64</v>
      </c>
      <c r="E34" s="61" t="s">
        <v>193</v>
      </c>
      <c r="F34" s="61" t="s">
        <v>68</v>
      </c>
      <c r="G34" s="43" t="s">
        <v>70</v>
      </c>
      <c r="H34" s="43" t="s">
        <v>15</v>
      </c>
      <c r="I34" s="44">
        <f>7.6*10</f>
        <v>76</v>
      </c>
      <c r="J34" s="44">
        <f>7.3*10</f>
        <v>73</v>
      </c>
      <c r="K34" s="55">
        <f>(20+25)/2</f>
        <v>22.5</v>
      </c>
      <c r="L34" s="55">
        <f>K34*2</f>
        <v>45</v>
      </c>
      <c r="M34" s="44">
        <f>I34+J34+L34</f>
        <v>194</v>
      </c>
      <c r="N34" s="61" t="s">
        <v>18</v>
      </c>
      <c r="O34" s="93"/>
    </row>
    <row r="35" spans="1:15" ht="39.75" customHeight="1" x14ac:dyDescent="0.2">
      <c r="A35" s="56"/>
      <c r="B35" s="58"/>
      <c r="C35" s="60"/>
      <c r="D35" s="64"/>
      <c r="E35" s="62"/>
      <c r="F35" s="62"/>
      <c r="G35" s="43" t="s">
        <v>119</v>
      </c>
      <c r="H35" s="43" t="s">
        <v>15</v>
      </c>
      <c r="I35" s="44">
        <f>6.82*10</f>
        <v>68.2</v>
      </c>
      <c r="J35" s="44">
        <f>6.82*10</f>
        <v>68.2</v>
      </c>
      <c r="K35" s="56"/>
      <c r="L35" s="56"/>
      <c r="M35" s="44">
        <f>I35+J35+L34</f>
        <v>181.4</v>
      </c>
      <c r="N35" s="62"/>
      <c r="O35" s="94"/>
    </row>
    <row r="36" spans="1:15" ht="48.75" customHeight="1" x14ac:dyDescent="0.2">
      <c r="A36" s="44">
        <v>19</v>
      </c>
      <c r="B36" s="45" t="s">
        <v>57</v>
      </c>
      <c r="C36" s="45"/>
      <c r="D36" s="47" t="s">
        <v>58</v>
      </c>
      <c r="E36" s="43" t="s">
        <v>195</v>
      </c>
      <c r="F36" s="43" t="s">
        <v>59</v>
      </c>
      <c r="G36" s="43" t="s">
        <v>60</v>
      </c>
      <c r="H36" s="43" t="s">
        <v>12</v>
      </c>
      <c r="I36" s="44">
        <f>8.2*10</f>
        <v>82</v>
      </c>
      <c r="J36" s="44">
        <f>8.5*10</f>
        <v>85</v>
      </c>
      <c r="K36" s="44">
        <f>(35+40)/2</f>
        <v>37.5</v>
      </c>
      <c r="L36" s="44">
        <f>K36*2</f>
        <v>75</v>
      </c>
      <c r="M36" s="44">
        <f>I36+J36+L36</f>
        <v>242</v>
      </c>
      <c r="N36" s="44"/>
      <c r="O36" s="28"/>
    </row>
    <row r="37" spans="1:15" ht="43.5" customHeight="1" x14ac:dyDescent="0.2">
      <c r="A37" s="55">
        <v>20</v>
      </c>
      <c r="B37" s="57" t="s">
        <v>13</v>
      </c>
      <c r="C37" s="59"/>
      <c r="D37" s="63">
        <v>30964</v>
      </c>
      <c r="E37" s="61" t="s">
        <v>195</v>
      </c>
      <c r="F37" s="61" t="s">
        <v>14</v>
      </c>
      <c r="G37" s="43" t="s">
        <v>65</v>
      </c>
      <c r="H37" s="43" t="s">
        <v>15</v>
      </c>
      <c r="I37" s="44">
        <f>6.9*10</f>
        <v>69</v>
      </c>
      <c r="J37" s="44">
        <f>8.4*10</f>
        <v>84</v>
      </c>
      <c r="K37" s="55">
        <f>(50+55)/2</f>
        <v>52.5</v>
      </c>
      <c r="L37" s="55">
        <f>K37*2</f>
        <v>105</v>
      </c>
      <c r="M37" s="44">
        <f>I37+J37+L37</f>
        <v>258</v>
      </c>
      <c r="N37" s="55"/>
      <c r="O37" s="93"/>
    </row>
    <row r="38" spans="1:15" ht="43.5" customHeight="1" x14ac:dyDescent="0.2">
      <c r="A38" s="56"/>
      <c r="B38" s="58"/>
      <c r="C38" s="60"/>
      <c r="D38" s="64"/>
      <c r="E38" s="62"/>
      <c r="F38" s="62"/>
      <c r="G38" s="43" t="s">
        <v>119</v>
      </c>
      <c r="H38" s="43" t="s">
        <v>15</v>
      </c>
      <c r="I38" s="44">
        <f>7.35*10</f>
        <v>73.5</v>
      </c>
      <c r="J38" s="44">
        <f>7.35*10</f>
        <v>73.5</v>
      </c>
      <c r="K38" s="56"/>
      <c r="L38" s="56"/>
      <c r="M38" s="44">
        <f>I38+J38+L37</f>
        <v>252</v>
      </c>
      <c r="N38" s="56"/>
      <c r="O38" s="94"/>
    </row>
    <row r="39" spans="1:15" ht="52.5" customHeight="1" x14ac:dyDescent="0.2">
      <c r="A39" s="44">
        <v>21</v>
      </c>
      <c r="B39" s="45" t="s">
        <v>52</v>
      </c>
      <c r="C39" s="45"/>
      <c r="D39" s="47" t="s">
        <v>53</v>
      </c>
      <c r="E39" s="43" t="s">
        <v>199</v>
      </c>
      <c r="F39" s="43" t="s">
        <v>54</v>
      </c>
      <c r="G39" s="43" t="s">
        <v>48</v>
      </c>
      <c r="H39" s="43" t="s">
        <v>55</v>
      </c>
      <c r="I39" s="44">
        <f>6.67*10</f>
        <v>66.7</v>
      </c>
      <c r="J39" s="44">
        <f>6*10</f>
        <v>60</v>
      </c>
      <c r="K39" s="44">
        <f>(35+25)/2</f>
        <v>30</v>
      </c>
      <c r="L39" s="44">
        <f>K39*2</f>
        <v>60</v>
      </c>
      <c r="M39" s="44">
        <f t="shared" ref="M39:M45" si="2">I39+J39+L39</f>
        <v>186.7</v>
      </c>
      <c r="N39" s="44"/>
      <c r="O39" s="28"/>
    </row>
    <row r="40" spans="1:15" ht="47.25" customHeight="1" x14ac:dyDescent="0.2">
      <c r="A40" s="44">
        <v>22</v>
      </c>
      <c r="B40" s="45" t="s">
        <v>187</v>
      </c>
      <c r="C40" s="46"/>
      <c r="D40" s="47" t="s">
        <v>188</v>
      </c>
      <c r="E40" s="43" t="s">
        <v>200</v>
      </c>
      <c r="F40" s="43" t="s">
        <v>96</v>
      </c>
      <c r="G40" s="43" t="s">
        <v>70</v>
      </c>
      <c r="H40" s="43" t="s">
        <v>15</v>
      </c>
      <c r="I40" s="22">
        <v>70</v>
      </c>
      <c r="J40" s="14">
        <f>8*10</f>
        <v>80</v>
      </c>
      <c r="K40" s="35">
        <f>(25+25)/2</f>
        <v>25</v>
      </c>
      <c r="L40" s="44">
        <f t="shared" ref="L40:L44" si="3">K40*2</f>
        <v>50</v>
      </c>
      <c r="M40" s="14">
        <f t="shared" si="2"/>
        <v>200</v>
      </c>
      <c r="N40" s="43"/>
      <c r="O40" s="28"/>
    </row>
    <row r="41" spans="1:15" ht="48.75" customHeight="1" x14ac:dyDescent="0.2">
      <c r="A41" s="44">
        <v>23</v>
      </c>
      <c r="B41" s="45" t="s">
        <v>44</v>
      </c>
      <c r="C41" s="45"/>
      <c r="D41" s="47" t="s">
        <v>45</v>
      </c>
      <c r="E41" s="43" t="s">
        <v>193</v>
      </c>
      <c r="F41" s="43" t="s">
        <v>26</v>
      </c>
      <c r="G41" s="43" t="s">
        <v>21</v>
      </c>
      <c r="H41" s="43" t="s">
        <v>12</v>
      </c>
      <c r="I41" s="44">
        <v>69</v>
      </c>
      <c r="J41" s="44">
        <f>8.5*10</f>
        <v>85</v>
      </c>
      <c r="K41" s="44">
        <v>25</v>
      </c>
      <c r="L41" s="44">
        <f t="shared" si="3"/>
        <v>50</v>
      </c>
      <c r="M41" s="44">
        <f t="shared" si="2"/>
        <v>204</v>
      </c>
      <c r="N41" s="44"/>
      <c r="O41" s="28"/>
    </row>
    <row r="42" spans="1:15" ht="43.5" customHeight="1" x14ac:dyDescent="0.2">
      <c r="A42" s="44">
        <v>24</v>
      </c>
      <c r="B42" s="45" t="s">
        <v>23</v>
      </c>
      <c r="C42" s="45"/>
      <c r="D42" s="47" t="s">
        <v>24</v>
      </c>
      <c r="E42" s="43" t="s">
        <v>25</v>
      </c>
      <c r="F42" s="43" t="s">
        <v>26</v>
      </c>
      <c r="G42" s="43" t="s">
        <v>21</v>
      </c>
      <c r="H42" s="43" t="s">
        <v>12</v>
      </c>
      <c r="I42" s="14">
        <v>70</v>
      </c>
      <c r="J42" s="44">
        <f>5.2*10</f>
        <v>52</v>
      </c>
      <c r="K42" s="44">
        <f>(20+25)/2</f>
        <v>22.5</v>
      </c>
      <c r="L42" s="44">
        <f t="shared" si="3"/>
        <v>45</v>
      </c>
      <c r="M42" s="14">
        <f t="shared" si="2"/>
        <v>167</v>
      </c>
      <c r="N42" s="44"/>
      <c r="O42" s="28"/>
    </row>
    <row r="43" spans="1:15" ht="48" customHeight="1" x14ac:dyDescent="0.2">
      <c r="A43" s="44">
        <v>25</v>
      </c>
      <c r="B43" s="45" t="s">
        <v>46</v>
      </c>
      <c r="C43" s="45"/>
      <c r="D43" s="47" t="s">
        <v>47</v>
      </c>
      <c r="E43" s="43" t="s">
        <v>193</v>
      </c>
      <c r="F43" s="43" t="s">
        <v>34</v>
      </c>
      <c r="G43" s="43" t="s">
        <v>48</v>
      </c>
      <c r="H43" s="43" t="s">
        <v>12</v>
      </c>
      <c r="I43" s="44">
        <v>75.8</v>
      </c>
      <c r="J43" s="44">
        <f>7.58*10</f>
        <v>75.8</v>
      </c>
      <c r="K43" s="44">
        <f>(85+90)/2</f>
        <v>87.5</v>
      </c>
      <c r="L43" s="44">
        <f t="shared" si="3"/>
        <v>175</v>
      </c>
      <c r="M43" s="44">
        <f t="shared" si="2"/>
        <v>326.60000000000002</v>
      </c>
      <c r="N43" s="43" t="s">
        <v>18</v>
      </c>
      <c r="O43" s="28"/>
    </row>
    <row r="44" spans="1:15" ht="45.75" customHeight="1" x14ac:dyDescent="0.2">
      <c r="A44" s="44">
        <v>26</v>
      </c>
      <c r="B44" s="45" t="s">
        <v>116</v>
      </c>
      <c r="C44" s="46"/>
      <c r="D44" s="47" t="s">
        <v>58</v>
      </c>
      <c r="E44" s="43" t="s">
        <v>199</v>
      </c>
      <c r="F44" s="43" t="s">
        <v>14</v>
      </c>
      <c r="G44" s="43" t="s">
        <v>21</v>
      </c>
      <c r="H44" s="43" t="s">
        <v>12</v>
      </c>
      <c r="I44" s="13">
        <f>7.6*10</f>
        <v>76</v>
      </c>
      <c r="J44" s="44">
        <f>7.5*10</f>
        <v>75</v>
      </c>
      <c r="K44" s="44">
        <f>(60+55)/2</f>
        <v>57.5</v>
      </c>
      <c r="L44" s="44">
        <f t="shared" si="3"/>
        <v>115</v>
      </c>
      <c r="M44" s="44">
        <f t="shared" si="2"/>
        <v>266</v>
      </c>
      <c r="N44" s="43"/>
      <c r="O44" s="28"/>
    </row>
    <row r="45" spans="1:15" ht="43.5" customHeight="1" x14ac:dyDescent="0.2">
      <c r="A45" s="55">
        <v>27</v>
      </c>
      <c r="B45" s="57" t="s">
        <v>132</v>
      </c>
      <c r="C45" s="59"/>
      <c r="D45" s="63" t="s">
        <v>133</v>
      </c>
      <c r="E45" s="61" t="s">
        <v>202</v>
      </c>
      <c r="F45" s="61" t="s">
        <v>14</v>
      </c>
      <c r="G45" s="43" t="s">
        <v>21</v>
      </c>
      <c r="H45" s="43" t="s">
        <v>12</v>
      </c>
      <c r="I45" s="44">
        <f>7.8*10</f>
        <v>78</v>
      </c>
      <c r="J45" s="44">
        <f>6.7*10</f>
        <v>67</v>
      </c>
      <c r="K45" s="55">
        <v>35</v>
      </c>
      <c r="L45" s="55">
        <f>K45*2</f>
        <v>70</v>
      </c>
      <c r="M45" s="44">
        <f t="shared" si="2"/>
        <v>215</v>
      </c>
      <c r="N45" s="61"/>
      <c r="O45" s="93"/>
    </row>
    <row r="46" spans="1:15" ht="43.5" customHeight="1" x14ac:dyDescent="0.2">
      <c r="A46" s="56"/>
      <c r="B46" s="58"/>
      <c r="C46" s="60"/>
      <c r="D46" s="64"/>
      <c r="E46" s="62"/>
      <c r="F46" s="62"/>
      <c r="G46" s="43" t="s">
        <v>119</v>
      </c>
      <c r="H46" s="43" t="s">
        <v>15</v>
      </c>
      <c r="I46" s="44">
        <f>7.86*10</f>
        <v>78.600000000000009</v>
      </c>
      <c r="J46" s="44">
        <f>7.86*10</f>
        <v>78.600000000000009</v>
      </c>
      <c r="K46" s="56"/>
      <c r="L46" s="56"/>
      <c r="M46" s="44">
        <f>I46+J46+L45</f>
        <v>227.20000000000002</v>
      </c>
      <c r="N46" s="62"/>
      <c r="O46" s="94"/>
    </row>
    <row r="47" spans="1:15" ht="57.75" customHeight="1" x14ac:dyDescent="0.2">
      <c r="A47" s="44">
        <v>28</v>
      </c>
      <c r="B47" s="45" t="s">
        <v>78</v>
      </c>
      <c r="C47" s="46"/>
      <c r="D47" s="47" t="s">
        <v>79</v>
      </c>
      <c r="E47" s="43" t="s">
        <v>193</v>
      </c>
      <c r="F47" s="43" t="s">
        <v>20</v>
      </c>
      <c r="G47" s="43" t="s">
        <v>21</v>
      </c>
      <c r="H47" s="43" t="s">
        <v>12</v>
      </c>
      <c r="I47" s="44">
        <f>7.4*10</f>
        <v>74</v>
      </c>
      <c r="J47" s="44">
        <f>7.8*10</f>
        <v>78</v>
      </c>
      <c r="K47" s="44">
        <f>(15+20)/2</f>
        <v>17.5</v>
      </c>
      <c r="L47" s="44">
        <f>K47*2</f>
        <v>35</v>
      </c>
      <c r="M47" s="44">
        <f>I47+J47+L47</f>
        <v>187</v>
      </c>
      <c r="N47" s="43" t="s">
        <v>206</v>
      </c>
      <c r="O47" s="28"/>
    </row>
    <row r="48" spans="1:15" ht="60.75" customHeight="1" x14ac:dyDescent="0.2">
      <c r="A48" s="44">
        <v>29</v>
      </c>
      <c r="B48" s="45" t="s">
        <v>49</v>
      </c>
      <c r="C48" s="45"/>
      <c r="D48" s="4" t="s">
        <v>50</v>
      </c>
      <c r="E48" s="43" t="s">
        <v>196</v>
      </c>
      <c r="F48" s="43" t="s">
        <v>51</v>
      </c>
      <c r="G48" s="43" t="s">
        <v>48</v>
      </c>
      <c r="H48" s="43" t="s">
        <v>15</v>
      </c>
      <c r="I48" s="44">
        <f>7.25*10</f>
        <v>72.5</v>
      </c>
      <c r="J48" s="44">
        <f>7.25*10</f>
        <v>72.5</v>
      </c>
      <c r="K48" s="44">
        <f>(15+25)/2</f>
        <v>20</v>
      </c>
      <c r="L48" s="44">
        <f>K48*2</f>
        <v>40</v>
      </c>
      <c r="M48" s="44">
        <f>I48+J48+L48</f>
        <v>185</v>
      </c>
      <c r="N48" s="43" t="s">
        <v>56</v>
      </c>
      <c r="O48" s="28"/>
    </row>
    <row r="49" spans="1:16" ht="24.75" customHeight="1" x14ac:dyDescent="0.2">
      <c r="A49" s="91" t="s">
        <v>215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1:16" ht="19.5" customHeight="1" x14ac:dyDescent="0.2">
      <c r="A50" s="90" t="s">
        <v>207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</row>
    <row r="51" spans="1:16" ht="48.75" customHeight="1" x14ac:dyDescent="0.2">
      <c r="A51" s="95">
        <v>1</v>
      </c>
      <c r="B51" s="97" t="s">
        <v>141</v>
      </c>
      <c r="C51" s="98"/>
      <c r="D51" s="107" t="s">
        <v>142</v>
      </c>
      <c r="E51" s="96" t="s">
        <v>199</v>
      </c>
      <c r="F51" s="96" t="s">
        <v>10</v>
      </c>
      <c r="G51" s="41" t="s">
        <v>140</v>
      </c>
      <c r="H51" s="41" t="s">
        <v>12</v>
      </c>
      <c r="I51" s="52">
        <f>7.49*10</f>
        <v>74.900000000000006</v>
      </c>
      <c r="J51" s="37">
        <f>7.49*10</f>
        <v>74.900000000000006</v>
      </c>
      <c r="K51" s="95">
        <v>80</v>
      </c>
      <c r="L51" s="95">
        <v>160</v>
      </c>
      <c r="M51" s="52">
        <f>I51+J51+L51</f>
        <v>309.8</v>
      </c>
      <c r="N51" s="96"/>
      <c r="O51" s="86"/>
    </row>
    <row r="52" spans="1:16" ht="44.25" customHeight="1" x14ac:dyDescent="0.2">
      <c r="A52" s="56"/>
      <c r="B52" s="58"/>
      <c r="C52" s="84"/>
      <c r="D52" s="79"/>
      <c r="E52" s="62"/>
      <c r="F52" s="62"/>
      <c r="G52" s="43" t="s">
        <v>139</v>
      </c>
      <c r="H52" s="43" t="s">
        <v>12</v>
      </c>
      <c r="I52" s="10">
        <f>7.53*10</f>
        <v>75.3</v>
      </c>
      <c r="J52" s="44">
        <f>7.53*10</f>
        <v>75.3</v>
      </c>
      <c r="K52" s="56"/>
      <c r="L52" s="56"/>
      <c r="M52" s="10">
        <f>I52+J52+L51</f>
        <v>310.60000000000002</v>
      </c>
      <c r="N52" s="62"/>
      <c r="O52" s="86"/>
    </row>
    <row r="53" spans="1:16" ht="59.25" customHeight="1" x14ac:dyDescent="0.2">
      <c r="A53" s="44">
        <v>2</v>
      </c>
      <c r="B53" s="45" t="s">
        <v>16</v>
      </c>
      <c r="C53" s="46" t="s">
        <v>17</v>
      </c>
      <c r="D53" s="45"/>
      <c r="E53" s="40" t="s">
        <v>194</v>
      </c>
      <c r="F53" s="40" t="s">
        <v>10</v>
      </c>
      <c r="G53" s="43" t="s">
        <v>11</v>
      </c>
      <c r="H53" s="43" t="s">
        <v>12</v>
      </c>
      <c r="I53" s="44">
        <f>7.4*10</f>
        <v>74</v>
      </c>
      <c r="J53" s="44">
        <f>7.4*10</f>
        <v>74</v>
      </c>
      <c r="K53" s="36">
        <v>55</v>
      </c>
      <c r="L53" s="36">
        <v>110</v>
      </c>
      <c r="M53" s="36">
        <f>I53+J53+L53</f>
        <v>258</v>
      </c>
      <c r="N53" s="40" t="s">
        <v>18</v>
      </c>
      <c r="O53" s="28"/>
    </row>
    <row r="54" spans="1:16" ht="48" customHeight="1" x14ac:dyDescent="0.2">
      <c r="A54" s="72">
        <v>3</v>
      </c>
      <c r="B54" s="73" t="s">
        <v>137</v>
      </c>
      <c r="C54" s="74"/>
      <c r="D54" s="74" t="s">
        <v>138</v>
      </c>
      <c r="E54" s="61" t="s">
        <v>199</v>
      </c>
      <c r="F54" s="61" t="s">
        <v>10</v>
      </c>
      <c r="G54" s="43" t="s">
        <v>140</v>
      </c>
      <c r="H54" s="43" t="s">
        <v>12</v>
      </c>
      <c r="I54" s="44">
        <f>7.37*10</f>
        <v>73.7</v>
      </c>
      <c r="J54" s="44">
        <f>7.37*10</f>
        <v>73.7</v>
      </c>
      <c r="K54" s="55">
        <f>(60+65)/2</f>
        <v>62.5</v>
      </c>
      <c r="L54" s="55">
        <f>K54*2</f>
        <v>125</v>
      </c>
      <c r="M54" s="44">
        <f>I54+J54+L54</f>
        <v>272.39999999999998</v>
      </c>
      <c r="N54" s="55"/>
      <c r="O54" s="93"/>
    </row>
    <row r="55" spans="1:16" ht="47.25" customHeight="1" x14ac:dyDescent="0.2">
      <c r="A55" s="72"/>
      <c r="B55" s="73"/>
      <c r="C55" s="74"/>
      <c r="D55" s="74"/>
      <c r="E55" s="62"/>
      <c r="F55" s="62"/>
      <c r="G55" s="43" t="s">
        <v>139</v>
      </c>
      <c r="H55" s="43" t="s">
        <v>12</v>
      </c>
      <c r="I55" s="44">
        <f>7.35*10</f>
        <v>73.5</v>
      </c>
      <c r="J55" s="44">
        <f>7.35*10</f>
        <v>73.5</v>
      </c>
      <c r="K55" s="56"/>
      <c r="L55" s="56"/>
      <c r="M55" s="44">
        <f>I55+J55+L54</f>
        <v>272</v>
      </c>
      <c r="N55" s="56"/>
      <c r="O55" s="94"/>
    </row>
    <row r="56" spans="1:16" ht="51.75" customHeight="1" x14ac:dyDescent="0.2">
      <c r="A56" s="44">
        <v>4</v>
      </c>
      <c r="B56" s="45" t="s">
        <v>8</v>
      </c>
      <c r="C56" s="45"/>
      <c r="D56" s="25">
        <v>34645</v>
      </c>
      <c r="E56" s="43" t="s">
        <v>202</v>
      </c>
      <c r="F56" s="43" t="s">
        <v>10</v>
      </c>
      <c r="G56" s="43" t="s">
        <v>11</v>
      </c>
      <c r="H56" s="43" t="s">
        <v>12</v>
      </c>
      <c r="I56" s="44">
        <f>7.5*10</f>
        <v>75</v>
      </c>
      <c r="J56" s="44">
        <f>7.5*10</f>
        <v>75</v>
      </c>
      <c r="K56" s="44">
        <f>(70+75)/2</f>
        <v>72.5</v>
      </c>
      <c r="L56" s="44">
        <f>K56*2</f>
        <v>145</v>
      </c>
      <c r="M56" s="44">
        <f>I56+J56+L56</f>
        <v>295</v>
      </c>
      <c r="N56" s="44"/>
      <c r="O56" s="28"/>
    </row>
    <row r="57" spans="1:16" ht="27" customHeight="1" x14ac:dyDescent="0.2">
      <c r="A57" s="91" t="s">
        <v>216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</row>
    <row r="58" spans="1:16" ht="27.75" customHeight="1" x14ac:dyDescent="0.2">
      <c r="A58" s="90" t="s">
        <v>208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</row>
    <row r="59" spans="1:16" ht="47.25" customHeight="1" x14ac:dyDescent="0.2">
      <c r="A59" s="37">
        <v>1</v>
      </c>
      <c r="B59" s="38" t="s">
        <v>66</v>
      </c>
      <c r="C59" s="31"/>
      <c r="D59" s="49" t="s">
        <v>67</v>
      </c>
      <c r="E59" s="41" t="s">
        <v>198</v>
      </c>
      <c r="F59" s="41" t="s">
        <v>34</v>
      </c>
      <c r="G59" s="41" t="s">
        <v>69</v>
      </c>
      <c r="H59" s="41" t="s">
        <v>12</v>
      </c>
      <c r="I59" s="37">
        <f>7.73*10</f>
        <v>77.300000000000011</v>
      </c>
      <c r="J59" s="37">
        <f>7.73*10</f>
        <v>77.300000000000011</v>
      </c>
      <c r="K59" s="37">
        <f>(80+85)/2</f>
        <v>82.5</v>
      </c>
      <c r="L59" s="37">
        <f>K59*2</f>
        <v>165</v>
      </c>
      <c r="M59" s="37">
        <f>I59+J59+L59</f>
        <v>319.60000000000002</v>
      </c>
      <c r="N59" s="37"/>
      <c r="O59" s="28"/>
    </row>
    <row r="60" spans="1:16" ht="47.25" customHeight="1" x14ac:dyDescent="0.2">
      <c r="A60" s="44">
        <v>2</v>
      </c>
      <c r="B60" s="45" t="s">
        <v>97</v>
      </c>
      <c r="C60" s="23"/>
      <c r="D60" s="8" t="s">
        <v>98</v>
      </c>
      <c r="E60" s="43" t="s">
        <v>202</v>
      </c>
      <c r="F60" s="43" t="s">
        <v>34</v>
      </c>
      <c r="G60" s="43" t="s">
        <v>69</v>
      </c>
      <c r="H60" s="43" t="s">
        <v>12</v>
      </c>
      <c r="I60" s="44">
        <f>7.86*10</f>
        <v>78.600000000000009</v>
      </c>
      <c r="J60" s="44">
        <f>7.86*10</f>
        <v>78.600000000000009</v>
      </c>
      <c r="K60" s="44">
        <f>(90+90)/2</f>
        <v>90</v>
      </c>
      <c r="L60" s="44">
        <f t="shared" ref="L60:L61" si="4">K60*2</f>
        <v>180</v>
      </c>
      <c r="M60" s="44">
        <f t="shared" ref="M60:M61" si="5">I60+J60+L60</f>
        <v>337.20000000000005</v>
      </c>
      <c r="N60" s="44"/>
      <c r="O60" s="46"/>
      <c r="P60" s="27"/>
    </row>
    <row r="61" spans="1:16" ht="47.25" customHeight="1" x14ac:dyDescent="0.2">
      <c r="A61" s="44">
        <v>3</v>
      </c>
      <c r="B61" s="45" t="s">
        <v>125</v>
      </c>
      <c r="C61" s="23"/>
      <c r="D61" s="8" t="s">
        <v>126</v>
      </c>
      <c r="E61" s="43" t="s">
        <v>193</v>
      </c>
      <c r="F61" s="43" t="s">
        <v>34</v>
      </c>
      <c r="G61" s="43" t="s">
        <v>69</v>
      </c>
      <c r="H61" s="43" t="s">
        <v>12</v>
      </c>
      <c r="I61" s="44">
        <f>7.96*10</f>
        <v>79.599999999999994</v>
      </c>
      <c r="J61" s="44">
        <f>7.96*10</f>
        <v>79.599999999999994</v>
      </c>
      <c r="K61" s="44">
        <f>(30+20)/2</f>
        <v>25</v>
      </c>
      <c r="L61" s="44">
        <f t="shared" si="4"/>
        <v>50</v>
      </c>
      <c r="M61" s="44">
        <f t="shared" si="5"/>
        <v>209.2</v>
      </c>
      <c r="N61" s="43" t="s">
        <v>18</v>
      </c>
      <c r="O61" s="28"/>
    </row>
    <row r="62" spans="1:16" ht="45" customHeight="1" x14ac:dyDescent="0.2">
      <c r="A62" s="55">
        <v>4</v>
      </c>
      <c r="B62" s="57" t="s">
        <v>71</v>
      </c>
      <c r="C62" s="83"/>
      <c r="D62" s="78" t="s">
        <v>72</v>
      </c>
      <c r="E62" s="61" t="s">
        <v>199</v>
      </c>
      <c r="F62" s="43" t="s">
        <v>14</v>
      </c>
      <c r="G62" s="43" t="s">
        <v>73</v>
      </c>
      <c r="H62" s="43" t="s">
        <v>12</v>
      </c>
      <c r="I62" s="44">
        <f>8.32*10</f>
        <v>83.2</v>
      </c>
      <c r="J62" s="44">
        <f>8.32*10</f>
        <v>83.2</v>
      </c>
      <c r="K62" s="55">
        <f>(85+90)/2</f>
        <v>87.5</v>
      </c>
      <c r="L62" s="55">
        <f>K62*2</f>
        <v>175</v>
      </c>
      <c r="M62" s="44">
        <f>I62+J62+L62</f>
        <v>341.4</v>
      </c>
      <c r="N62" s="55"/>
      <c r="O62" s="86"/>
    </row>
    <row r="63" spans="1:16" ht="39.75" customHeight="1" x14ac:dyDescent="0.2">
      <c r="A63" s="56"/>
      <c r="B63" s="58"/>
      <c r="C63" s="84"/>
      <c r="D63" s="79"/>
      <c r="E63" s="62"/>
      <c r="F63" s="43" t="s">
        <v>34</v>
      </c>
      <c r="G63" s="43" t="s">
        <v>69</v>
      </c>
      <c r="H63" s="43" t="s">
        <v>15</v>
      </c>
      <c r="I63" s="44">
        <f>7.56*10</f>
        <v>75.599999999999994</v>
      </c>
      <c r="J63" s="44">
        <f>7.56*10</f>
        <v>75.599999999999994</v>
      </c>
      <c r="K63" s="56"/>
      <c r="L63" s="56"/>
      <c r="M63" s="44">
        <f>I63+J63+L62</f>
        <v>326.2</v>
      </c>
      <c r="N63" s="56"/>
      <c r="O63" s="86"/>
    </row>
    <row r="64" spans="1:16" ht="48.75" customHeight="1" x14ac:dyDescent="0.2">
      <c r="A64" s="44">
        <v>5</v>
      </c>
      <c r="B64" s="45" t="s">
        <v>109</v>
      </c>
      <c r="C64" s="23"/>
      <c r="D64" s="8" t="s">
        <v>110</v>
      </c>
      <c r="E64" s="43" t="s">
        <v>203</v>
      </c>
      <c r="F64" s="43" t="s">
        <v>34</v>
      </c>
      <c r="G64" s="43" t="s">
        <v>69</v>
      </c>
      <c r="H64" s="43" t="s">
        <v>12</v>
      </c>
      <c r="I64" s="44">
        <f>7.52*10</f>
        <v>75.199999999999989</v>
      </c>
      <c r="J64" s="44">
        <f>7.52*10</f>
        <v>75.199999999999989</v>
      </c>
      <c r="K64" s="44">
        <f>(65+70)/2</f>
        <v>67.5</v>
      </c>
      <c r="L64" s="44">
        <f>K64*2</f>
        <v>135</v>
      </c>
      <c r="M64" s="44">
        <f>I64+J64+L64</f>
        <v>285.39999999999998</v>
      </c>
      <c r="N64" s="44"/>
      <c r="O64" s="28"/>
    </row>
    <row r="65" spans="1:15" ht="54.75" customHeight="1" x14ac:dyDescent="0.2">
      <c r="A65" s="44">
        <v>6</v>
      </c>
      <c r="B65" s="45" t="s">
        <v>178</v>
      </c>
      <c r="C65" s="45"/>
      <c r="D65" s="9" t="s">
        <v>179</v>
      </c>
      <c r="E65" s="43" t="s">
        <v>204</v>
      </c>
      <c r="F65" s="43" t="s">
        <v>96</v>
      </c>
      <c r="G65" s="43" t="s">
        <v>180</v>
      </c>
      <c r="H65" s="43" t="s">
        <v>12</v>
      </c>
      <c r="I65" s="14">
        <f>7*10</f>
        <v>70</v>
      </c>
      <c r="J65" s="14">
        <f>7*10</f>
        <v>70</v>
      </c>
      <c r="K65" s="14" t="s">
        <v>226</v>
      </c>
      <c r="L65" s="14" t="s">
        <v>226</v>
      </c>
      <c r="M65" s="14">
        <f>I65+J65</f>
        <v>140</v>
      </c>
      <c r="N65" s="43"/>
      <c r="O65" s="51" t="s">
        <v>231</v>
      </c>
    </row>
    <row r="66" spans="1:15" ht="27" customHeight="1" x14ac:dyDescent="0.2">
      <c r="A66" s="90" t="s">
        <v>209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</row>
    <row r="67" spans="1:15" ht="49.5" customHeight="1" x14ac:dyDescent="0.2">
      <c r="A67" s="37">
        <v>1</v>
      </c>
      <c r="B67" s="38" t="s">
        <v>123</v>
      </c>
      <c r="C67" s="31"/>
      <c r="D67" s="49" t="s">
        <v>124</v>
      </c>
      <c r="E67" s="41" t="s">
        <v>199</v>
      </c>
      <c r="F67" s="41" t="s">
        <v>88</v>
      </c>
      <c r="G67" s="41" t="s">
        <v>89</v>
      </c>
      <c r="H67" s="41" t="s">
        <v>12</v>
      </c>
      <c r="I67" s="52">
        <f>7.49*10</f>
        <v>74.900000000000006</v>
      </c>
      <c r="J67" s="52">
        <f>7.49*10</f>
        <v>74.900000000000006</v>
      </c>
      <c r="K67" s="29">
        <f>(85+80)/2</f>
        <v>82.5</v>
      </c>
      <c r="L67" s="52">
        <f>K67*2</f>
        <v>165</v>
      </c>
      <c r="M67" s="52">
        <f>I67+J67+L67</f>
        <v>314.8</v>
      </c>
      <c r="N67" s="37"/>
      <c r="O67" s="28"/>
    </row>
    <row r="68" spans="1:15" ht="49.5" customHeight="1" x14ac:dyDescent="0.2">
      <c r="A68" s="44">
        <v>2</v>
      </c>
      <c r="B68" s="45" t="s">
        <v>74</v>
      </c>
      <c r="C68" s="50"/>
      <c r="D68" s="8" t="s">
        <v>75</v>
      </c>
      <c r="E68" s="43" t="s">
        <v>204</v>
      </c>
      <c r="F68" s="43" t="s">
        <v>76</v>
      </c>
      <c r="G68" s="43" t="s">
        <v>77</v>
      </c>
      <c r="H68" s="43" t="s">
        <v>12</v>
      </c>
      <c r="I68" s="44">
        <f>7.42*10</f>
        <v>74.2</v>
      </c>
      <c r="J68" s="44">
        <f>7.42*10</f>
        <v>74.2</v>
      </c>
      <c r="K68" s="44">
        <f>(60+60)/2</f>
        <v>60</v>
      </c>
      <c r="L68" s="10">
        <f t="shared" ref="L68:L69" si="6">K68*2</f>
        <v>120</v>
      </c>
      <c r="M68" s="10">
        <f t="shared" ref="M68:M69" si="7">I68+J68+L68</f>
        <v>268.39999999999998</v>
      </c>
      <c r="N68" s="44"/>
      <c r="O68" s="6"/>
    </row>
    <row r="69" spans="1:15" ht="49.5" customHeight="1" x14ac:dyDescent="0.2">
      <c r="A69" s="44">
        <v>3</v>
      </c>
      <c r="B69" s="45" t="s">
        <v>86</v>
      </c>
      <c r="C69" s="50"/>
      <c r="D69" s="8" t="s">
        <v>87</v>
      </c>
      <c r="E69" s="43" t="s">
        <v>202</v>
      </c>
      <c r="F69" s="43" t="s">
        <v>88</v>
      </c>
      <c r="G69" s="43" t="s">
        <v>89</v>
      </c>
      <c r="H69" s="43" t="s">
        <v>12</v>
      </c>
      <c r="I69" s="10">
        <f>7.2*10</f>
        <v>72</v>
      </c>
      <c r="J69" s="10">
        <f>7.2*10</f>
        <v>72</v>
      </c>
      <c r="K69" s="29">
        <f>(85+90)/2</f>
        <v>87.5</v>
      </c>
      <c r="L69" s="10">
        <f t="shared" si="6"/>
        <v>175</v>
      </c>
      <c r="M69" s="10">
        <f t="shared" si="7"/>
        <v>319</v>
      </c>
      <c r="N69" s="44"/>
      <c r="O69" s="28"/>
    </row>
    <row r="70" spans="1:15" ht="21" customHeight="1" x14ac:dyDescent="0.2">
      <c r="A70" s="90" t="s">
        <v>210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</row>
    <row r="71" spans="1:15" ht="45" customHeight="1" x14ac:dyDescent="0.2">
      <c r="A71" s="95">
        <v>1</v>
      </c>
      <c r="B71" s="97" t="s">
        <v>141</v>
      </c>
      <c r="C71" s="98"/>
      <c r="D71" s="107" t="s">
        <v>142</v>
      </c>
      <c r="E71" s="96" t="s">
        <v>199</v>
      </c>
      <c r="F71" s="96" t="s">
        <v>10</v>
      </c>
      <c r="G71" s="41" t="s">
        <v>140</v>
      </c>
      <c r="H71" s="41" t="s">
        <v>12</v>
      </c>
      <c r="I71" s="52">
        <f>7.49*10</f>
        <v>74.900000000000006</v>
      </c>
      <c r="J71" s="37">
        <f>7.49*10</f>
        <v>74.900000000000006</v>
      </c>
      <c r="K71" s="95">
        <f>(55+60)/2</f>
        <v>57.5</v>
      </c>
      <c r="L71" s="106">
        <f>K71*2</f>
        <v>115</v>
      </c>
      <c r="M71" s="52">
        <f>I71+J71+L71</f>
        <v>264.8</v>
      </c>
      <c r="N71" s="96"/>
      <c r="O71" s="86"/>
    </row>
    <row r="72" spans="1:15" ht="46.5" customHeight="1" x14ac:dyDescent="0.2">
      <c r="A72" s="56"/>
      <c r="B72" s="58"/>
      <c r="C72" s="84"/>
      <c r="D72" s="79"/>
      <c r="E72" s="62"/>
      <c r="F72" s="62"/>
      <c r="G72" s="43" t="s">
        <v>139</v>
      </c>
      <c r="H72" s="43" t="s">
        <v>12</v>
      </c>
      <c r="I72" s="10">
        <f>7.53*10</f>
        <v>75.3</v>
      </c>
      <c r="J72" s="44">
        <f>7.53*10</f>
        <v>75.3</v>
      </c>
      <c r="K72" s="56"/>
      <c r="L72" s="105"/>
      <c r="M72" s="10">
        <f>I72+J72+L71</f>
        <v>265.60000000000002</v>
      </c>
      <c r="N72" s="62"/>
      <c r="O72" s="86"/>
    </row>
    <row r="73" spans="1:15" ht="55.5" customHeight="1" x14ac:dyDescent="0.25">
      <c r="A73" s="44">
        <v>2</v>
      </c>
      <c r="B73" s="45" t="s">
        <v>16</v>
      </c>
      <c r="C73" s="11" t="s">
        <v>17</v>
      </c>
      <c r="D73" s="20"/>
      <c r="E73" s="43" t="s">
        <v>194</v>
      </c>
      <c r="F73" s="43" t="s">
        <v>10</v>
      </c>
      <c r="G73" s="43" t="s">
        <v>11</v>
      </c>
      <c r="H73" s="43" t="s">
        <v>12</v>
      </c>
      <c r="I73" s="10">
        <f>7.4*10</f>
        <v>74</v>
      </c>
      <c r="J73" s="10">
        <f>7.4*10</f>
        <v>74</v>
      </c>
      <c r="K73" s="14">
        <f>(30+40)/2</f>
        <v>35</v>
      </c>
      <c r="L73" s="10">
        <f>K73*2</f>
        <v>70</v>
      </c>
      <c r="M73" s="10">
        <f>I73+J73+L73</f>
        <v>218</v>
      </c>
      <c r="N73" s="43" t="s">
        <v>18</v>
      </c>
      <c r="O73" s="28"/>
    </row>
    <row r="74" spans="1:15" ht="54.75" customHeight="1" x14ac:dyDescent="0.25">
      <c r="A74" s="44">
        <v>3</v>
      </c>
      <c r="B74" s="45" t="s">
        <v>29</v>
      </c>
      <c r="C74" s="20"/>
      <c r="D74" s="12" t="s">
        <v>30</v>
      </c>
      <c r="E74" s="43" t="s">
        <v>199</v>
      </c>
      <c r="F74" s="43" t="s">
        <v>10</v>
      </c>
      <c r="G74" s="43" t="s">
        <v>31</v>
      </c>
      <c r="H74" s="43" t="s">
        <v>12</v>
      </c>
      <c r="I74" s="10">
        <f>6.25*10</f>
        <v>62.5</v>
      </c>
      <c r="J74" s="44">
        <f>6.25*10</f>
        <v>62.5</v>
      </c>
      <c r="K74" s="44">
        <f>(60+65)/2</f>
        <v>62.5</v>
      </c>
      <c r="L74" s="10">
        <f>K74*2</f>
        <v>125</v>
      </c>
      <c r="M74" s="10">
        <f>I74+J74+L74</f>
        <v>250</v>
      </c>
      <c r="N74" s="43"/>
      <c r="O74" s="28"/>
    </row>
    <row r="75" spans="1:15" ht="43.5" customHeight="1" x14ac:dyDescent="0.2">
      <c r="A75" s="55">
        <v>4</v>
      </c>
      <c r="B75" s="57" t="s">
        <v>137</v>
      </c>
      <c r="C75" s="76"/>
      <c r="D75" s="78" t="s">
        <v>138</v>
      </c>
      <c r="E75" s="61" t="s">
        <v>199</v>
      </c>
      <c r="F75" s="61" t="s">
        <v>10</v>
      </c>
      <c r="G75" s="43" t="s">
        <v>140</v>
      </c>
      <c r="H75" s="43" t="s">
        <v>12</v>
      </c>
      <c r="I75" s="10">
        <f>7.37*10</f>
        <v>73.7</v>
      </c>
      <c r="J75" s="44">
        <f>7.37*10</f>
        <v>73.7</v>
      </c>
      <c r="K75" s="55">
        <f>(80+85)/2</f>
        <v>82.5</v>
      </c>
      <c r="L75" s="104">
        <f>K75*2</f>
        <v>165</v>
      </c>
      <c r="M75" s="10">
        <f>I75+J75+L75</f>
        <v>312.39999999999998</v>
      </c>
      <c r="N75" s="55"/>
      <c r="O75" s="86"/>
    </row>
    <row r="76" spans="1:15" ht="43.5" customHeight="1" x14ac:dyDescent="0.2">
      <c r="A76" s="56"/>
      <c r="B76" s="58"/>
      <c r="C76" s="77"/>
      <c r="D76" s="79"/>
      <c r="E76" s="62"/>
      <c r="F76" s="62"/>
      <c r="G76" s="43" t="s">
        <v>139</v>
      </c>
      <c r="H76" s="43" t="s">
        <v>12</v>
      </c>
      <c r="I76" s="10">
        <f>7.35*10</f>
        <v>73.5</v>
      </c>
      <c r="J76" s="44">
        <f>7.35*10</f>
        <v>73.5</v>
      </c>
      <c r="K76" s="56"/>
      <c r="L76" s="105"/>
      <c r="M76" s="10">
        <f>I76+J76+L75</f>
        <v>312</v>
      </c>
      <c r="N76" s="56"/>
      <c r="O76" s="86"/>
    </row>
    <row r="77" spans="1:15" ht="54" customHeight="1" x14ac:dyDescent="0.2">
      <c r="A77" s="44">
        <v>5</v>
      </c>
      <c r="B77" s="45" t="s">
        <v>8</v>
      </c>
      <c r="C77" s="45"/>
      <c r="D77" s="8">
        <v>34645</v>
      </c>
      <c r="E77" s="43" t="s">
        <v>202</v>
      </c>
      <c r="F77" s="43" t="s">
        <v>10</v>
      </c>
      <c r="G77" s="43" t="s">
        <v>11</v>
      </c>
      <c r="H77" s="43" t="s">
        <v>12</v>
      </c>
      <c r="I77" s="10">
        <f>7.5*10</f>
        <v>75</v>
      </c>
      <c r="J77" s="10">
        <f>7.5*10</f>
        <v>75</v>
      </c>
      <c r="K77" s="14">
        <f>(80+75)/2</f>
        <v>77.5</v>
      </c>
      <c r="L77" s="10">
        <f>K77*2</f>
        <v>155</v>
      </c>
      <c r="M77" s="10">
        <f>I77+J77+L77</f>
        <v>305</v>
      </c>
      <c r="N77" s="44"/>
      <c r="O77" s="28"/>
    </row>
    <row r="78" spans="1:15" ht="23.25" customHeight="1" x14ac:dyDescent="0.2">
      <c r="A78" s="91" t="s">
        <v>217</v>
      </c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</row>
    <row r="79" spans="1:15" ht="21.75" customHeight="1" x14ac:dyDescent="0.2">
      <c r="A79" s="90" t="s">
        <v>211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</row>
    <row r="80" spans="1:15" ht="55.5" customHeight="1" x14ac:dyDescent="0.2">
      <c r="A80" s="37">
        <v>1</v>
      </c>
      <c r="B80" s="38" t="s">
        <v>169</v>
      </c>
      <c r="C80" s="32"/>
      <c r="D80" s="49" t="s">
        <v>170</v>
      </c>
      <c r="E80" s="41" t="s">
        <v>195</v>
      </c>
      <c r="F80" s="41" t="s">
        <v>34</v>
      </c>
      <c r="G80" s="41" t="s">
        <v>35</v>
      </c>
      <c r="H80" s="37" t="s">
        <v>12</v>
      </c>
      <c r="I80" s="52">
        <f>7.83*10</f>
        <v>78.3</v>
      </c>
      <c r="J80" s="52">
        <f>7.83*10</f>
        <v>78.3</v>
      </c>
      <c r="K80" s="52" t="s">
        <v>226</v>
      </c>
      <c r="L80" s="52" t="s">
        <v>226</v>
      </c>
      <c r="M80" s="52">
        <f>I80+J80</f>
        <v>156.6</v>
      </c>
      <c r="N80" s="41"/>
      <c r="O80" s="51" t="s">
        <v>231</v>
      </c>
    </row>
    <row r="81" spans="1:15" ht="78.75" customHeight="1" x14ac:dyDescent="0.2">
      <c r="A81" s="44">
        <v>2</v>
      </c>
      <c r="B81" s="45" t="s">
        <v>42</v>
      </c>
      <c r="C81" s="12"/>
      <c r="D81" s="8" t="s">
        <v>43</v>
      </c>
      <c r="E81" s="43" t="s">
        <v>197</v>
      </c>
      <c r="F81" s="43" t="s">
        <v>34</v>
      </c>
      <c r="G81" s="43" t="s">
        <v>35</v>
      </c>
      <c r="H81" s="44" t="s">
        <v>12</v>
      </c>
      <c r="I81" s="44">
        <f>6.83*10</f>
        <v>68.3</v>
      </c>
      <c r="J81" s="44">
        <f>6.83*10</f>
        <v>68.3</v>
      </c>
      <c r="K81" s="44">
        <f>(20+25)/2</f>
        <v>22.5</v>
      </c>
      <c r="L81" s="44">
        <f>K81*2</f>
        <v>45</v>
      </c>
      <c r="M81" s="44">
        <f>I81+J81+L81</f>
        <v>181.6</v>
      </c>
      <c r="N81" s="43" t="s">
        <v>191</v>
      </c>
      <c r="O81" s="28"/>
    </row>
    <row r="82" spans="1:15" ht="50.25" customHeight="1" x14ac:dyDescent="0.2">
      <c r="A82" s="44">
        <v>3</v>
      </c>
      <c r="B82" s="45" t="s">
        <v>99</v>
      </c>
      <c r="C82" s="12"/>
      <c r="D82" s="8" t="s">
        <v>100</v>
      </c>
      <c r="E82" s="43" t="s">
        <v>193</v>
      </c>
      <c r="F82" s="43" t="s">
        <v>34</v>
      </c>
      <c r="G82" s="43" t="s">
        <v>35</v>
      </c>
      <c r="H82" s="44" t="s">
        <v>12</v>
      </c>
      <c r="I82" s="10">
        <f>7*10</f>
        <v>70</v>
      </c>
      <c r="J82" s="10">
        <f>7*10</f>
        <v>70</v>
      </c>
      <c r="K82" s="14">
        <f>(40+45)/2</f>
        <v>42.5</v>
      </c>
      <c r="L82" s="44">
        <f t="shared" ref="L82" si="8">K82*2</f>
        <v>85</v>
      </c>
      <c r="M82" s="44">
        <f>I82+J82+L82</f>
        <v>225</v>
      </c>
      <c r="N82" s="43" t="s">
        <v>56</v>
      </c>
      <c r="O82" s="28"/>
    </row>
    <row r="83" spans="1:15" ht="52.5" customHeight="1" x14ac:dyDescent="0.2">
      <c r="A83" s="44">
        <v>4</v>
      </c>
      <c r="B83" s="45" t="s">
        <v>32</v>
      </c>
      <c r="C83" s="12" t="s">
        <v>33</v>
      </c>
      <c r="D83" s="8"/>
      <c r="E83" s="43" t="s">
        <v>197</v>
      </c>
      <c r="F83" s="43" t="s">
        <v>34</v>
      </c>
      <c r="G83" s="43" t="s">
        <v>35</v>
      </c>
      <c r="H83" s="44" t="s">
        <v>12</v>
      </c>
      <c r="I83" s="44">
        <f>6.39*10</f>
        <v>63.9</v>
      </c>
      <c r="J83" s="44">
        <f>6.39*10</f>
        <v>63.9</v>
      </c>
      <c r="K83" s="44" t="s">
        <v>226</v>
      </c>
      <c r="L83" s="44" t="s">
        <v>226</v>
      </c>
      <c r="M83" s="44">
        <f>I83+J83</f>
        <v>127.8</v>
      </c>
      <c r="N83" s="43" t="s">
        <v>18</v>
      </c>
      <c r="O83" s="51" t="s">
        <v>231</v>
      </c>
    </row>
    <row r="84" spans="1:15" ht="43.5" customHeight="1" x14ac:dyDescent="0.2">
      <c r="A84" s="55">
        <v>5</v>
      </c>
      <c r="B84" s="57" t="s">
        <v>181</v>
      </c>
      <c r="C84" s="76" t="s">
        <v>182</v>
      </c>
      <c r="D84" s="78"/>
      <c r="E84" s="61" t="s">
        <v>202</v>
      </c>
      <c r="F84" s="43" t="s">
        <v>34</v>
      </c>
      <c r="G84" s="43" t="s">
        <v>183</v>
      </c>
      <c r="H84" s="44" t="s">
        <v>12</v>
      </c>
      <c r="I84" s="10">
        <f>7.22*10</f>
        <v>72.2</v>
      </c>
      <c r="J84" s="10">
        <f>7.22*10</f>
        <v>72.2</v>
      </c>
      <c r="K84" s="104" t="s">
        <v>226</v>
      </c>
      <c r="L84" s="55" t="s">
        <v>226</v>
      </c>
      <c r="M84" s="10">
        <f>I84+J84</f>
        <v>144.4</v>
      </c>
      <c r="N84" s="61"/>
      <c r="O84" s="92" t="s">
        <v>231</v>
      </c>
    </row>
    <row r="85" spans="1:15" ht="54" customHeight="1" x14ac:dyDescent="0.2">
      <c r="A85" s="56"/>
      <c r="B85" s="58"/>
      <c r="C85" s="77"/>
      <c r="D85" s="79"/>
      <c r="E85" s="62"/>
      <c r="F85" s="43" t="s">
        <v>34</v>
      </c>
      <c r="G85" s="43" t="s">
        <v>184</v>
      </c>
      <c r="H85" s="44"/>
      <c r="I85" s="10">
        <f>7.62*10</f>
        <v>76.2</v>
      </c>
      <c r="J85" s="14">
        <f>8.8*10</f>
        <v>88</v>
      </c>
      <c r="K85" s="105"/>
      <c r="L85" s="56"/>
      <c r="M85" s="14">
        <f>I85+J85</f>
        <v>164.2</v>
      </c>
      <c r="N85" s="62"/>
      <c r="O85" s="92"/>
    </row>
    <row r="86" spans="1:15" ht="54" customHeight="1" x14ac:dyDescent="0.2">
      <c r="A86" s="44">
        <v>6</v>
      </c>
      <c r="B86" s="45" t="s">
        <v>164</v>
      </c>
      <c r="C86" s="12"/>
      <c r="D86" s="8" t="s">
        <v>165</v>
      </c>
      <c r="E86" s="43" t="s">
        <v>202</v>
      </c>
      <c r="F86" s="43" t="s">
        <v>34</v>
      </c>
      <c r="G86" s="43" t="s">
        <v>166</v>
      </c>
      <c r="H86" s="44" t="s">
        <v>12</v>
      </c>
      <c r="I86" s="10">
        <f>7.82*10</f>
        <v>78.2</v>
      </c>
      <c r="J86" s="10">
        <f>7.82*10</f>
        <v>78.2</v>
      </c>
      <c r="K86" s="10" t="s">
        <v>226</v>
      </c>
      <c r="L86" s="44" t="s">
        <v>226</v>
      </c>
      <c r="M86" s="10">
        <f>I86+J86</f>
        <v>156.4</v>
      </c>
      <c r="N86" s="43"/>
      <c r="O86" s="51" t="s">
        <v>231</v>
      </c>
    </row>
    <row r="87" spans="1:15" ht="24.75" customHeight="1" x14ac:dyDescent="0.2">
      <c r="A87" s="90" t="s">
        <v>212</v>
      </c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</row>
    <row r="88" spans="1:15" ht="43.5" customHeight="1" x14ac:dyDescent="0.2">
      <c r="A88" s="37">
        <v>1</v>
      </c>
      <c r="B88" s="33" t="s">
        <v>159</v>
      </c>
      <c r="C88" s="33"/>
      <c r="D88" s="49" t="s">
        <v>160</v>
      </c>
      <c r="E88" s="34" t="s">
        <v>194</v>
      </c>
      <c r="F88" s="41" t="s">
        <v>34</v>
      </c>
      <c r="G88" s="41" t="s">
        <v>129</v>
      </c>
      <c r="H88" s="37" t="s">
        <v>12</v>
      </c>
      <c r="I88" s="37">
        <f>7.14*10</f>
        <v>71.399999999999991</v>
      </c>
      <c r="J88" s="37">
        <f>7.14*10</f>
        <v>71.399999999999991</v>
      </c>
      <c r="K88" s="37">
        <f>(85+90)/2</f>
        <v>87.5</v>
      </c>
      <c r="L88" s="37">
        <f>K88*2</f>
        <v>175</v>
      </c>
      <c r="M88" s="37">
        <f>I88+J88+L88</f>
        <v>317.79999999999995</v>
      </c>
      <c r="N88" s="37"/>
      <c r="O88" s="28"/>
    </row>
    <row r="89" spans="1:15" ht="43.5" customHeight="1" x14ac:dyDescent="0.2">
      <c r="A89" s="44">
        <v>2</v>
      </c>
      <c r="B89" s="21" t="s">
        <v>176</v>
      </c>
      <c r="C89" s="21"/>
      <c r="D89" s="8" t="s">
        <v>177</v>
      </c>
      <c r="E89" s="6" t="s">
        <v>205</v>
      </c>
      <c r="F89" s="43" t="s">
        <v>34</v>
      </c>
      <c r="G89" s="43" t="s">
        <v>129</v>
      </c>
      <c r="H89" s="44" t="s">
        <v>12</v>
      </c>
      <c r="I89" s="44">
        <f>7.59*10</f>
        <v>75.900000000000006</v>
      </c>
      <c r="J89" s="44">
        <f>7.59*10</f>
        <v>75.900000000000006</v>
      </c>
      <c r="K89" s="44">
        <f>(75+70)/2</f>
        <v>72.5</v>
      </c>
      <c r="L89" s="44">
        <f t="shared" ref="L89:L91" si="9">K89*2</f>
        <v>145</v>
      </c>
      <c r="M89" s="44">
        <f t="shared" ref="M89:M91" si="10">I89+J89+L89</f>
        <v>296.8</v>
      </c>
      <c r="N89" s="44"/>
      <c r="O89" s="28"/>
    </row>
    <row r="90" spans="1:15" ht="45.75" customHeight="1" x14ac:dyDescent="0.2">
      <c r="A90" s="44">
        <v>3</v>
      </c>
      <c r="B90" s="45" t="s">
        <v>127</v>
      </c>
      <c r="C90" s="45"/>
      <c r="D90" s="8" t="s">
        <v>128</v>
      </c>
      <c r="E90" s="6" t="s">
        <v>204</v>
      </c>
      <c r="F90" s="43" t="s">
        <v>34</v>
      </c>
      <c r="G90" s="43" t="s">
        <v>129</v>
      </c>
      <c r="H90" s="44" t="s">
        <v>12</v>
      </c>
      <c r="I90" s="44">
        <f>7.04*10</f>
        <v>70.400000000000006</v>
      </c>
      <c r="J90" s="44">
        <f>7.04*10</f>
        <v>70.400000000000006</v>
      </c>
      <c r="K90" s="44">
        <f>(40+40)/2</f>
        <v>40</v>
      </c>
      <c r="L90" s="44">
        <f t="shared" si="9"/>
        <v>80</v>
      </c>
      <c r="M90" s="44">
        <f t="shared" si="10"/>
        <v>220.8</v>
      </c>
      <c r="N90" s="44"/>
      <c r="O90" s="28"/>
    </row>
    <row r="91" spans="1:15" ht="48" customHeight="1" x14ac:dyDescent="0.2">
      <c r="A91" s="44">
        <v>4</v>
      </c>
      <c r="B91" s="45" t="s">
        <v>130</v>
      </c>
      <c r="C91" s="45"/>
      <c r="D91" s="8" t="s">
        <v>131</v>
      </c>
      <c r="E91" s="6" t="s">
        <v>195</v>
      </c>
      <c r="F91" s="43" t="s">
        <v>34</v>
      </c>
      <c r="G91" s="43" t="s">
        <v>129</v>
      </c>
      <c r="H91" s="44" t="s">
        <v>12</v>
      </c>
      <c r="I91" s="44">
        <f>7.53*10</f>
        <v>75.3</v>
      </c>
      <c r="J91" s="44">
        <f>7.53*10</f>
        <v>75.3</v>
      </c>
      <c r="K91" s="44">
        <v>10</v>
      </c>
      <c r="L91" s="44">
        <f t="shared" si="9"/>
        <v>20</v>
      </c>
      <c r="M91" s="44">
        <f t="shared" si="10"/>
        <v>170.6</v>
      </c>
      <c r="N91" s="44"/>
      <c r="O91" s="28"/>
    </row>
    <row r="92" spans="1:15" ht="22.5" customHeight="1" x14ac:dyDescent="0.2">
      <c r="A92" s="91" t="s">
        <v>218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</row>
    <row r="93" spans="1:15" ht="41.25" customHeight="1" x14ac:dyDescent="0.2">
      <c r="A93" s="37">
        <v>1</v>
      </c>
      <c r="B93" s="38" t="s">
        <v>103</v>
      </c>
      <c r="C93" s="31"/>
      <c r="D93" s="48" t="s">
        <v>104</v>
      </c>
      <c r="E93" s="41" t="s">
        <v>202</v>
      </c>
      <c r="F93" s="41" t="s">
        <v>105</v>
      </c>
      <c r="G93" s="41" t="s">
        <v>121</v>
      </c>
      <c r="H93" s="37" t="s">
        <v>12</v>
      </c>
      <c r="I93" s="37">
        <f>7.9*10</f>
        <v>79</v>
      </c>
      <c r="J93" s="37">
        <f>7.9*10</f>
        <v>79</v>
      </c>
      <c r="K93" s="37">
        <f>(60+65)/2</f>
        <v>62.5</v>
      </c>
      <c r="L93" s="37">
        <f>K93*2</f>
        <v>125</v>
      </c>
      <c r="M93" s="37">
        <f>I93+J93+L93</f>
        <v>283</v>
      </c>
      <c r="N93" s="37"/>
      <c r="O93" s="28"/>
    </row>
    <row r="94" spans="1:15" ht="19.5" customHeight="1" x14ac:dyDescent="0.2">
      <c r="A94" s="87" t="s">
        <v>219</v>
      </c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1:15" ht="36.75" customHeight="1" x14ac:dyDescent="0.2">
      <c r="A95" s="44">
        <v>1</v>
      </c>
      <c r="B95" s="45" t="s">
        <v>171</v>
      </c>
      <c r="C95" s="12" t="s">
        <v>172</v>
      </c>
      <c r="D95" s="9"/>
      <c r="E95" s="43" t="s">
        <v>199</v>
      </c>
      <c r="F95" s="43" t="s">
        <v>38</v>
      </c>
      <c r="G95" s="43" t="s">
        <v>39</v>
      </c>
      <c r="H95" s="44" t="s">
        <v>12</v>
      </c>
      <c r="I95" s="44">
        <f>7.1*10</f>
        <v>71</v>
      </c>
      <c r="J95" s="44">
        <f>7.2*10</f>
        <v>72</v>
      </c>
      <c r="K95" s="44">
        <f>(50+60)/2</f>
        <v>55</v>
      </c>
      <c r="L95" s="44">
        <f>K95*2</f>
        <v>110</v>
      </c>
      <c r="M95" s="44">
        <f>I95+J95+L95</f>
        <v>253</v>
      </c>
      <c r="N95" s="43" t="s">
        <v>173</v>
      </c>
      <c r="O95" s="28"/>
    </row>
    <row r="96" spans="1:15" ht="60" customHeight="1" x14ac:dyDescent="0.2">
      <c r="A96" s="44">
        <v>2</v>
      </c>
      <c r="B96" s="45" t="s">
        <v>36</v>
      </c>
      <c r="C96" s="12" t="s">
        <v>37</v>
      </c>
      <c r="D96" s="9"/>
      <c r="E96" s="43" t="s">
        <v>201</v>
      </c>
      <c r="F96" s="43" t="s">
        <v>38</v>
      </c>
      <c r="G96" s="43" t="s">
        <v>39</v>
      </c>
      <c r="H96" s="44" t="s">
        <v>12</v>
      </c>
      <c r="I96" s="44">
        <f>6.5*10</f>
        <v>65</v>
      </c>
      <c r="J96" s="44">
        <f>6.5*10</f>
        <v>65</v>
      </c>
      <c r="K96" s="44">
        <f>(55+60)/2</f>
        <v>57.5</v>
      </c>
      <c r="L96" s="44">
        <f>K96*2</f>
        <v>115</v>
      </c>
      <c r="M96" s="44">
        <f>I96+J96+L96</f>
        <v>245</v>
      </c>
      <c r="N96" s="43" t="s">
        <v>192</v>
      </c>
      <c r="O96" s="28"/>
    </row>
    <row r="97" spans="1:15" ht="24" customHeight="1" x14ac:dyDescent="0.2">
      <c r="A97" s="91" t="s">
        <v>220</v>
      </c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</row>
    <row r="98" spans="1:15" ht="27.75" customHeight="1" x14ac:dyDescent="0.2">
      <c r="A98" s="95">
        <v>1</v>
      </c>
      <c r="B98" s="97" t="s">
        <v>111</v>
      </c>
      <c r="C98" s="102"/>
      <c r="D98" s="103" t="s">
        <v>112</v>
      </c>
      <c r="E98" s="96" t="s">
        <v>196</v>
      </c>
      <c r="F98" s="96" t="s">
        <v>113</v>
      </c>
      <c r="G98" s="41" t="s">
        <v>122</v>
      </c>
      <c r="H98" s="41" t="s">
        <v>12</v>
      </c>
      <c r="I98" s="29">
        <f>7*10</f>
        <v>70</v>
      </c>
      <c r="J98" s="37">
        <f>7.8*10</f>
        <v>78</v>
      </c>
      <c r="K98" s="95">
        <v>15</v>
      </c>
      <c r="L98" s="95">
        <f>K98*2</f>
        <v>30</v>
      </c>
      <c r="M98" s="29">
        <f>I98+J98+L98</f>
        <v>178</v>
      </c>
      <c r="N98" s="95"/>
      <c r="O98" s="86"/>
    </row>
    <row r="99" spans="1:15" ht="27.75" customHeight="1" x14ac:dyDescent="0.2">
      <c r="A99" s="56"/>
      <c r="B99" s="58"/>
      <c r="C99" s="81"/>
      <c r="D99" s="77"/>
      <c r="E99" s="62"/>
      <c r="F99" s="62"/>
      <c r="G99" s="43" t="s">
        <v>120</v>
      </c>
      <c r="H99" s="43" t="s">
        <v>12</v>
      </c>
      <c r="I99" s="44">
        <f>7.04*10</f>
        <v>70.400000000000006</v>
      </c>
      <c r="J99" s="44">
        <f>7.04*10</f>
        <v>70.400000000000006</v>
      </c>
      <c r="K99" s="56"/>
      <c r="L99" s="56"/>
      <c r="M99" s="44">
        <f>I99+J99+L98</f>
        <v>170.8</v>
      </c>
      <c r="N99" s="56"/>
      <c r="O99" s="86"/>
    </row>
    <row r="100" spans="1:15" ht="30.75" customHeight="1" x14ac:dyDescent="0.2">
      <c r="A100" s="55">
        <v>2</v>
      </c>
      <c r="B100" s="57" t="s">
        <v>80</v>
      </c>
      <c r="C100" s="80"/>
      <c r="D100" s="76" t="s">
        <v>81</v>
      </c>
      <c r="E100" s="61" t="s">
        <v>202</v>
      </c>
      <c r="F100" s="43" t="s">
        <v>82</v>
      </c>
      <c r="G100" s="43" t="s">
        <v>83</v>
      </c>
      <c r="H100" s="44" t="s">
        <v>12</v>
      </c>
      <c r="I100" s="44">
        <f>6.88*10</f>
        <v>68.8</v>
      </c>
      <c r="J100" s="44">
        <f>6.88*10</f>
        <v>68.8</v>
      </c>
      <c r="K100" s="55">
        <f>(85+90)/2</f>
        <v>87.5</v>
      </c>
      <c r="L100" s="55">
        <f>K100*2</f>
        <v>175</v>
      </c>
      <c r="M100" s="44">
        <f>I100+J100+L100</f>
        <v>312.60000000000002</v>
      </c>
      <c r="N100" s="55"/>
      <c r="O100" s="86"/>
    </row>
    <row r="101" spans="1:15" ht="33.75" customHeight="1" x14ac:dyDescent="0.2">
      <c r="A101" s="56"/>
      <c r="B101" s="58"/>
      <c r="C101" s="81"/>
      <c r="D101" s="77"/>
      <c r="E101" s="62"/>
      <c r="F101" s="43" t="s">
        <v>84</v>
      </c>
      <c r="G101" s="43" t="s">
        <v>85</v>
      </c>
      <c r="H101" s="43" t="s">
        <v>15</v>
      </c>
      <c r="I101" s="44">
        <f>7.43*10</f>
        <v>74.3</v>
      </c>
      <c r="J101" s="44">
        <f>7.43*10</f>
        <v>74.3</v>
      </c>
      <c r="K101" s="56"/>
      <c r="L101" s="56"/>
      <c r="M101" s="44">
        <f>I101+J101+L100</f>
        <v>323.60000000000002</v>
      </c>
      <c r="N101" s="56"/>
      <c r="O101" s="86"/>
    </row>
    <row r="102" spans="1:15" ht="41.25" customHeight="1" x14ac:dyDescent="0.25">
      <c r="A102" s="44">
        <v>3</v>
      </c>
      <c r="B102" s="45" t="s">
        <v>222</v>
      </c>
      <c r="C102" s="54"/>
      <c r="D102" s="8">
        <v>31984</v>
      </c>
      <c r="E102" s="43" t="s">
        <v>202</v>
      </c>
      <c r="F102" s="43" t="s">
        <v>14</v>
      </c>
      <c r="G102" s="43" t="s">
        <v>223</v>
      </c>
      <c r="H102" s="43" t="s">
        <v>12</v>
      </c>
      <c r="I102" s="44">
        <f>7.21*10</f>
        <v>72.099999999999994</v>
      </c>
      <c r="J102" s="44">
        <f>7.21*10</f>
        <v>72.099999999999994</v>
      </c>
      <c r="K102" s="44">
        <f>(55+60)/2</f>
        <v>57.5</v>
      </c>
      <c r="L102" s="44">
        <f>K102*2</f>
        <v>115</v>
      </c>
      <c r="M102" s="44">
        <f>I102+J102+L102</f>
        <v>259.2</v>
      </c>
      <c r="N102" s="44"/>
      <c r="O102" s="28"/>
    </row>
    <row r="103" spans="1:15" ht="21" customHeight="1" x14ac:dyDescent="0.2">
      <c r="A103" s="87" t="s">
        <v>221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1:15" ht="55.5" customHeight="1" x14ac:dyDescent="0.2">
      <c r="A104" s="44">
        <v>1</v>
      </c>
      <c r="B104" s="45" t="s">
        <v>106</v>
      </c>
      <c r="C104" s="50"/>
      <c r="D104" s="9" t="s">
        <v>107</v>
      </c>
      <c r="E104" s="43" t="s">
        <v>202</v>
      </c>
      <c r="F104" s="43" t="s">
        <v>14</v>
      </c>
      <c r="G104" s="43" t="s">
        <v>108</v>
      </c>
      <c r="H104" s="44" t="s">
        <v>12</v>
      </c>
      <c r="I104" s="44">
        <f>6.9*10</f>
        <v>69</v>
      </c>
      <c r="J104" s="44">
        <f>5.7*10</f>
        <v>57</v>
      </c>
      <c r="K104" s="44" t="s">
        <v>226</v>
      </c>
      <c r="L104" s="44" t="s">
        <v>226</v>
      </c>
      <c r="M104" s="44">
        <f>I104+J104</f>
        <v>126</v>
      </c>
      <c r="N104" s="44"/>
      <c r="O104" s="51" t="s">
        <v>231</v>
      </c>
    </row>
    <row r="105" spans="1:15" ht="41.25" customHeight="1" x14ac:dyDescent="0.2">
      <c r="A105" s="55">
        <v>2</v>
      </c>
      <c r="B105" s="57" t="s">
        <v>154</v>
      </c>
      <c r="C105" s="59"/>
      <c r="D105" s="78" t="s">
        <v>155</v>
      </c>
      <c r="E105" s="61" t="s">
        <v>202</v>
      </c>
      <c r="F105" s="43" t="s">
        <v>14</v>
      </c>
      <c r="G105" s="43" t="s">
        <v>156</v>
      </c>
      <c r="H105" s="44" t="s">
        <v>12</v>
      </c>
      <c r="I105" s="44">
        <f>7.4*10</f>
        <v>74</v>
      </c>
      <c r="J105" s="44">
        <f>7.4*10</f>
        <v>74</v>
      </c>
      <c r="K105" s="55">
        <f>(55+60)/2</f>
        <v>57.5</v>
      </c>
      <c r="L105" s="55">
        <f>K105*2</f>
        <v>115</v>
      </c>
      <c r="M105" s="44">
        <f>I105+J105+L105</f>
        <v>263</v>
      </c>
      <c r="N105" s="55"/>
      <c r="O105" s="86"/>
    </row>
    <row r="106" spans="1:15" ht="37.5" customHeight="1" x14ac:dyDescent="0.2">
      <c r="A106" s="56"/>
      <c r="B106" s="58"/>
      <c r="C106" s="60"/>
      <c r="D106" s="79"/>
      <c r="E106" s="62"/>
      <c r="F106" s="43" t="s">
        <v>157</v>
      </c>
      <c r="G106" s="43" t="s">
        <v>158</v>
      </c>
      <c r="H106" s="43" t="s">
        <v>15</v>
      </c>
      <c r="I106" s="44">
        <f>7.54*10</f>
        <v>75.400000000000006</v>
      </c>
      <c r="J106" s="44">
        <f>7.54*10</f>
        <v>75.400000000000006</v>
      </c>
      <c r="K106" s="56"/>
      <c r="L106" s="56"/>
      <c r="M106" s="44">
        <f>I106+J106+L105</f>
        <v>265.8</v>
      </c>
      <c r="N106" s="56"/>
      <c r="O106" s="86"/>
    </row>
    <row r="107" spans="1:15" ht="43.5" customHeight="1" x14ac:dyDescent="0.25">
      <c r="A107" s="44">
        <v>3</v>
      </c>
      <c r="B107" s="5" t="s">
        <v>161</v>
      </c>
      <c r="C107" s="20"/>
      <c r="D107" s="43" t="s">
        <v>162</v>
      </c>
      <c r="E107" s="43" t="s">
        <v>204</v>
      </c>
      <c r="F107" s="43" t="s">
        <v>14</v>
      </c>
      <c r="G107" s="43" t="s">
        <v>163</v>
      </c>
      <c r="H107" s="44" t="s">
        <v>12</v>
      </c>
      <c r="I107" s="44">
        <f>7.58*10</f>
        <v>75.8</v>
      </c>
      <c r="J107" s="44">
        <f>7.58*10</f>
        <v>75.8</v>
      </c>
      <c r="K107" s="44">
        <f>(25+30)/2</f>
        <v>27.5</v>
      </c>
      <c r="L107" s="44">
        <f>K107*2</f>
        <v>55</v>
      </c>
      <c r="M107" s="44">
        <f>I107+J107+L107</f>
        <v>206.6</v>
      </c>
      <c r="N107" s="44"/>
      <c r="O107" s="28"/>
    </row>
    <row r="108" spans="1:15" x14ac:dyDescent="0.2">
      <c r="A108" s="15"/>
      <c r="B108" s="16"/>
      <c r="C108" s="16"/>
      <c r="D108" s="17"/>
      <c r="E108" s="18"/>
      <c r="F108" s="18"/>
      <c r="G108" s="19"/>
      <c r="H108" s="19"/>
      <c r="I108" s="19"/>
      <c r="J108" s="19"/>
      <c r="K108" s="19"/>
      <c r="L108" s="19"/>
      <c r="M108" s="19"/>
      <c r="N108" s="19"/>
    </row>
    <row r="109" spans="1:15" ht="18.75" customHeight="1" x14ac:dyDescent="0.2">
      <c r="A109" s="82" t="s">
        <v>232</v>
      </c>
      <c r="B109" s="82"/>
      <c r="C109" s="82"/>
      <c r="D109" s="82"/>
      <c r="E109" s="7"/>
      <c r="F109" s="2"/>
      <c r="G109" s="2"/>
      <c r="H109" s="2"/>
      <c r="I109" s="2"/>
      <c r="J109" s="2"/>
      <c r="K109" s="2"/>
      <c r="L109" s="2"/>
      <c r="M109" s="2"/>
      <c r="N109" s="2"/>
    </row>
    <row r="110" spans="1:15" ht="15" x14ac:dyDescent="0.25">
      <c r="A110" s="89" t="s">
        <v>233</v>
      </c>
      <c r="B110" s="89"/>
      <c r="C110" s="89"/>
      <c r="D110" s="89"/>
    </row>
  </sheetData>
  <mergeCells count="218">
    <mergeCell ref="A1:E1"/>
    <mergeCell ref="F1:N1"/>
    <mergeCell ref="A2:E2"/>
    <mergeCell ref="F2:N2"/>
    <mergeCell ref="I4:N4"/>
    <mergeCell ref="A5:N5"/>
    <mergeCell ref="K7:K8"/>
    <mergeCell ref="L7:L8"/>
    <mergeCell ref="M7:M8"/>
    <mergeCell ref="N7:N8"/>
    <mergeCell ref="O7:O8"/>
    <mergeCell ref="A9:O9"/>
    <mergeCell ref="A6:N6"/>
    <mergeCell ref="A7:A8"/>
    <mergeCell ref="B7:B8"/>
    <mergeCell ref="C7:D7"/>
    <mergeCell ref="E7:E8"/>
    <mergeCell ref="F7:F8"/>
    <mergeCell ref="G7:G8"/>
    <mergeCell ref="H7:H8"/>
    <mergeCell ref="I7:I8"/>
    <mergeCell ref="J7:J8"/>
    <mergeCell ref="K13:K14"/>
    <mergeCell ref="L13:L14"/>
    <mergeCell ref="N13:N14"/>
    <mergeCell ref="O13:O14"/>
    <mergeCell ref="A17:A18"/>
    <mergeCell ref="B17:B18"/>
    <mergeCell ref="C17:C18"/>
    <mergeCell ref="D17:D18"/>
    <mergeCell ref="E17:E18"/>
    <mergeCell ref="K17:K18"/>
    <mergeCell ref="A13:A14"/>
    <mergeCell ref="B13:B14"/>
    <mergeCell ref="C13:C14"/>
    <mergeCell ref="D13:D14"/>
    <mergeCell ref="E13:E14"/>
    <mergeCell ref="F13:F14"/>
    <mergeCell ref="L17:L18"/>
    <mergeCell ref="N17:N18"/>
    <mergeCell ref="O17:O18"/>
    <mergeCell ref="A20:A21"/>
    <mergeCell ref="B20:B21"/>
    <mergeCell ref="C20:C21"/>
    <mergeCell ref="D20:D21"/>
    <mergeCell ref="E20:E21"/>
    <mergeCell ref="K20:K21"/>
    <mergeCell ref="L20:L21"/>
    <mergeCell ref="N20:N21"/>
    <mergeCell ref="O20:O21"/>
    <mergeCell ref="A22:A23"/>
    <mergeCell ref="B22:B23"/>
    <mergeCell ref="C22:C23"/>
    <mergeCell ref="D22:D23"/>
    <mergeCell ref="E22:E23"/>
    <mergeCell ref="K22:K23"/>
    <mergeCell ref="L22:L23"/>
    <mergeCell ref="N22:N23"/>
    <mergeCell ref="O22:O23"/>
    <mergeCell ref="A24:A25"/>
    <mergeCell ref="B24:B25"/>
    <mergeCell ref="C24:C25"/>
    <mergeCell ref="D24:D25"/>
    <mergeCell ref="E24:E25"/>
    <mergeCell ref="K24:K25"/>
    <mergeCell ref="L24:L25"/>
    <mergeCell ref="N24:N25"/>
    <mergeCell ref="O24:O25"/>
    <mergeCell ref="L28:L29"/>
    <mergeCell ref="N28:N29"/>
    <mergeCell ref="O28:O29"/>
    <mergeCell ref="A30:A31"/>
    <mergeCell ref="B30:B31"/>
    <mergeCell ref="C30:C31"/>
    <mergeCell ref="D30:D31"/>
    <mergeCell ref="E30:E31"/>
    <mergeCell ref="F30:F31"/>
    <mergeCell ref="K30:K31"/>
    <mergeCell ref="A28:A29"/>
    <mergeCell ref="B28:B29"/>
    <mergeCell ref="C28:C29"/>
    <mergeCell ref="D28:D29"/>
    <mergeCell ref="E28:E29"/>
    <mergeCell ref="K28:K29"/>
    <mergeCell ref="L30:L31"/>
    <mergeCell ref="N30:N31"/>
    <mergeCell ref="O30:O31"/>
    <mergeCell ref="O34:O35"/>
    <mergeCell ref="A37:A38"/>
    <mergeCell ref="B37:B38"/>
    <mergeCell ref="C37:C38"/>
    <mergeCell ref="D37:D38"/>
    <mergeCell ref="E37:E38"/>
    <mergeCell ref="F37:F38"/>
    <mergeCell ref="K37:K38"/>
    <mergeCell ref="L37:L38"/>
    <mergeCell ref="N37:N38"/>
    <mergeCell ref="O37:O38"/>
    <mergeCell ref="A34:A35"/>
    <mergeCell ref="B34:B35"/>
    <mergeCell ref="C34:C35"/>
    <mergeCell ref="D34:D35"/>
    <mergeCell ref="E34:E35"/>
    <mergeCell ref="F34:F35"/>
    <mergeCell ref="K34:K35"/>
    <mergeCell ref="L34:L35"/>
    <mergeCell ref="N34:N35"/>
    <mergeCell ref="O45:O46"/>
    <mergeCell ref="A49:O49"/>
    <mergeCell ref="A50:O50"/>
    <mergeCell ref="A51:A52"/>
    <mergeCell ref="B51:B52"/>
    <mergeCell ref="C51:C52"/>
    <mergeCell ref="D51:D52"/>
    <mergeCell ref="E51:E52"/>
    <mergeCell ref="F54:F55"/>
    <mergeCell ref="K54:K55"/>
    <mergeCell ref="L54:L55"/>
    <mergeCell ref="N54:N55"/>
    <mergeCell ref="O54:O55"/>
    <mergeCell ref="A45:A46"/>
    <mergeCell ref="B45:B46"/>
    <mergeCell ref="C45:C46"/>
    <mergeCell ref="D45:D46"/>
    <mergeCell ref="E45:E46"/>
    <mergeCell ref="F45:F46"/>
    <mergeCell ref="K45:K46"/>
    <mergeCell ref="L45:L46"/>
    <mergeCell ref="N45:N46"/>
    <mergeCell ref="A57:O57"/>
    <mergeCell ref="F51:F52"/>
    <mergeCell ref="K51:K52"/>
    <mergeCell ref="L51:L52"/>
    <mergeCell ref="N51:N52"/>
    <mergeCell ref="O51:O52"/>
    <mergeCell ref="A54:A55"/>
    <mergeCell ref="B54:B55"/>
    <mergeCell ref="C54:C55"/>
    <mergeCell ref="D54:D55"/>
    <mergeCell ref="E54:E55"/>
    <mergeCell ref="A58:O58"/>
    <mergeCell ref="A62:A63"/>
    <mergeCell ref="B62:B63"/>
    <mergeCell ref="C62:C63"/>
    <mergeCell ref="D62:D63"/>
    <mergeCell ref="E62:E63"/>
    <mergeCell ref="K62:K63"/>
    <mergeCell ref="L62:L63"/>
    <mergeCell ref="N62:N63"/>
    <mergeCell ref="O62:O63"/>
    <mergeCell ref="A66:O66"/>
    <mergeCell ref="A70:O70"/>
    <mergeCell ref="A71:A72"/>
    <mergeCell ref="B71:B72"/>
    <mergeCell ref="C71:C72"/>
    <mergeCell ref="D71:D72"/>
    <mergeCell ref="E71:E72"/>
    <mergeCell ref="F71:F72"/>
    <mergeCell ref="K71:K72"/>
    <mergeCell ref="L71:L72"/>
    <mergeCell ref="N71:N72"/>
    <mergeCell ref="O71:O72"/>
    <mergeCell ref="N84:N85"/>
    <mergeCell ref="O84:O85"/>
    <mergeCell ref="A87:O87"/>
    <mergeCell ref="A92:O92"/>
    <mergeCell ref="A94:O94"/>
    <mergeCell ref="N75:N76"/>
    <mergeCell ref="O75:O76"/>
    <mergeCell ref="A78:O78"/>
    <mergeCell ref="A79:O79"/>
    <mergeCell ref="A84:A85"/>
    <mergeCell ref="B84:B85"/>
    <mergeCell ref="C84:C85"/>
    <mergeCell ref="D84:D85"/>
    <mergeCell ref="E84:E85"/>
    <mergeCell ref="K84:K85"/>
    <mergeCell ref="A75:A76"/>
    <mergeCell ref="B75:B76"/>
    <mergeCell ref="C75:C76"/>
    <mergeCell ref="D75:D76"/>
    <mergeCell ref="E75:E76"/>
    <mergeCell ref="F75:F76"/>
    <mergeCell ref="K75:K76"/>
    <mergeCell ref="L75:L76"/>
    <mergeCell ref="L84:L85"/>
    <mergeCell ref="A97:O97"/>
    <mergeCell ref="A98:A99"/>
    <mergeCell ref="B98:B99"/>
    <mergeCell ref="C98:C99"/>
    <mergeCell ref="D98:D99"/>
    <mergeCell ref="E98:E99"/>
    <mergeCell ref="F98:F99"/>
    <mergeCell ref="K98:K99"/>
    <mergeCell ref="L98:L99"/>
    <mergeCell ref="N98:N99"/>
    <mergeCell ref="O98:O99"/>
    <mergeCell ref="A100:A101"/>
    <mergeCell ref="B100:B101"/>
    <mergeCell ref="C100:C101"/>
    <mergeCell ref="D100:D101"/>
    <mergeCell ref="E100:E101"/>
    <mergeCell ref="K100:K101"/>
    <mergeCell ref="L100:L101"/>
    <mergeCell ref="N100:N101"/>
    <mergeCell ref="O100:O101"/>
    <mergeCell ref="A109:D109"/>
    <mergeCell ref="A110:D110"/>
    <mergeCell ref="A103:O103"/>
    <mergeCell ref="A105:A106"/>
    <mergeCell ref="B105:B106"/>
    <mergeCell ref="C105:C106"/>
    <mergeCell ref="D105:D106"/>
    <mergeCell ref="E105:E106"/>
    <mergeCell ref="K105:K106"/>
    <mergeCell ref="L105:L106"/>
    <mergeCell ref="N105:N106"/>
    <mergeCell ref="O105:O106"/>
  </mergeCells>
  <printOptions horizontalCentered="1"/>
  <pageMargins left="0.25" right="0" top="0.5" bottom="0.25" header="0.5" footer="0.5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Ủy ban tổng hợp</vt:lpstr>
      <vt:lpstr>'Ủy ban tổng hợp'!Print_Titles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E1-471</dc:creator>
  <cp:lastModifiedBy>MyPC</cp:lastModifiedBy>
  <cp:lastPrinted>2018-01-09T01:53:29Z</cp:lastPrinted>
  <dcterms:created xsi:type="dcterms:W3CDTF">2016-11-01T01:09:50Z</dcterms:created>
  <dcterms:modified xsi:type="dcterms:W3CDTF">2018-01-15T00:55:58Z</dcterms:modified>
</cp:coreProperties>
</file>